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baranchikova.l\Downloads\"/>
    </mc:Choice>
  </mc:AlternateContent>
  <xr:revisionPtr revIDLastSave="0" documentId="13_ncr:1_{F1120841-7951-4193-BC23-E86475740A27}" xr6:coauthVersionLast="47" xr6:coauthVersionMax="47" xr10:uidLastSave="{00000000-0000-0000-0000-000000000000}"/>
  <bookViews>
    <workbookView xWindow="-120" yWindow="-120" windowWidth="29040" windowHeight="15840" tabRatio="852" activeTab="47"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ТСО'!$62:$64</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Т-гор.вода'!$72:$74</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ТСО'!$65:$68</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Т-гор.вода'!$75:$77</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ТСО'!$T$61</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Т-гор.вода'!$V$71</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Т-гор.вода'!$AY$43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Т-гор.вода'!$51:$68</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ТСО'!$46:$57</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Т-гор.вода'!$52:$67</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Т-гор.вода'!$49:$70</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Т-гор.вода'!$50:$69</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ТСО'!$AT$62</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Т-гор.вода'!$AY$72</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48" i="63"/>
  <c r="K101" i="63"/>
  <c r="N101" i="63" s="1"/>
  <c r="J101" i="63"/>
  <c r="M101" i="63" s="1"/>
  <c r="I101" i="63"/>
  <c r="L101" i="63" s="1"/>
  <c r="M100" i="63"/>
  <c r="K100" i="63"/>
  <c r="N100" i="63" s="1"/>
  <c r="J100" i="63"/>
  <c r="I100" i="63"/>
  <c r="L100" i="63" s="1"/>
  <c r="K99" i="63"/>
  <c r="N99" i="63" s="1"/>
  <c r="J99" i="63"/>
  <c r="M99" i="63" s="1"/>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s="1"/>
  <c r="K57" i="63"/>
  <c r="N57" i="63" s="1"/>
  <c r="I57" i="63"/>
  <c r="L57" i="63" s="1"/>
  <c r="T56" i="63"/>
  <c r="N56" i="63"/>
  <c r="L56" i="63"/>
  <c r="K56" i="63"/>
  <c r="J56" i="63"/>
  <c r="M56" i="63" s="1"/>
  <c r="I56" i="63"/>
  <c r="T55" i="63"/>
  <c r="J55" i="63" s="1"/>
  <c r="M55" i="63" s="1"/>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c r="K35" i="63"/>
  <c r="N35" i="63" s="1"/>
  <c r="I35" i="63"/>
  <c r="L35" i="63" s="1"/>
  <c r="M34" i="63"/>
  <c r="K34" i="63"/>
  <c r="N34" i="63" s="1"/>
  <c r="J34" i="63"/>
  <c r="I34" i="63"/>
  <c r="L34" i="63" s="1"/>
  <c r="T33" i="63"/>
  <c r="N33" i="63"/>
  <c r="L33" i="63"/>
  <c r="K33" i="63"/>
  <c r="J33" i="63"/>
  <c r="M33" i="63" s="1"/>
  <c r="I33" i="63"/>
  <c r="T32" i="63"/>
  <c r="J32" i="63" s="1"/>
  <c r="M32" i="63"/>
  <c r="K32" i="63"/>
  <c r="N32" i="63" s="1"/>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J26" i="63" s="1"/>
  <c r="M26" i="63"/>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6" i="63"/>
  <c r="N15" i="63"/>
  <c r="M15" i="63"/>
  <c r="N14" i="63"/>
  <c r="M14" i="63"/>
  <c r="N13" i="63"/>
  <c r="M13" i="63"/>
  <c r="N12" i="63"/>
  <c r="M12" i="63"/>
  <c r="N11" i="63"/>
  <c r="M11" i="63"/>
  <c r="N3" i="63"/>
  <c r="C34" i="62"/>
  <c r="C32" i="62"/>
  <c r="C31" i="62"/>
  <c r="C30" i="62"/>
  <c r="C29" i="62"/>
  <c r="C8" i="62"/>
  <c r="C7" i="62"/>
  <c r="D6" i="62"/>
  <c r="C6" i="62" s="1"/>
  <c r="E21" i="33"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s="1"/>
  <c r="F19" i="61"/>
  <c r="O14" i="61"/>
  <c r="M14" i="61" a="1"/>
  <c r="M14" i="61" s="1"/>
  <c r="F14" i="61"/>
  <c r="E14" i="61"/>
  <c r="G13" i="61"/>
  <c r="E13" i="61"/>
  <c r="F13" i="56"/>
  <c r="E7" i="56"/>
  <c r="F2" i="56"/>
  <c r="P10" i="55" a="1"/>
  <c r="P10" i="55" s="1"/>
  <c r="M10" i="55"/>
  <c r="L10" i="55"/>
  <c r="R10" i="55" s="1"/>
  <c r="F10" i="55"/>
  <c r="K8" i="55"/>
  <c r="R2" i="55"/>
  <c r="P2" i="55" a="1"/>
  <c r="P2" i="55" s="1"/>
  <c r="M2" i="55"/>
  <c r="P10" i="54" a="1"/>
  <c r="P10" i="54"/>
  <c r="M10" i="54"/>
  <c r="L10" i="54"/>
  <c r="R10" i="54" s="1"/>
  <c r="F10" i="54"/>
  <c r="K8" i="54"/>
  <c r="J8" i="54"/>
  <c r="G8" i="54"/>
  <c r="F8" i="54"/>
  <c r="R2" i="54"/>
  <c r="P2" i="54" a="1"/>
  <c r="P2" i="54" s="1"/>
  <c r="M2" i="54"/>
  <c r="P9" i="53"/>
  <c r="N9" i="53" a="1"/>
  <c r="N9" i="53" s="1"/>
  <c r="J9" i="53"/>
  <c r="E5" i="53"/>
  <c r="P2" i="53"/>
  <c r="N2" i="53" a="1"/>
  <c r="N2" i="53" s="1"/>
  <c r="G24" i="52"/>
  <c r="G12" i="52"/>
  <c r="F12" i="52"/>
  <c r="F2" i="55" s="1"/>
  <c r="E12" i="52"/>
  <c r="D6" i="52"/>
  <c r="D5" i="52"/>
  <c r="BA115" i="51"/>
  <c r="BA114" i="51"/>
  <c r="BA113" i="51"/>
  <c r="BA102" i="51"/>
  <c r="BA100" i="51"/>
  <c r="BA99" i="51"/>
  <c r="I53" i="51"/>
  <c r="I52" i="51"/>
  <c r="H52" i="51"/>
  <c r="G52" i="51"/>
  <c r="I51" i="51"/>
  <c r="H51" i="51"/>
  <c r="F29" i="51" s="1"/>
  <c r="G51" i="51"/>
  <c r="I50" i="51"/>
  <c r="J49" i="51"/>
  <c r="I49" i="51"/>
  <c r="H49" i="51"/>
  <c r="I48" i="51"/>
  <c r="I47" i="51"/>
  <c r="G47" i="51"/>
  <c r="I46" i="51"/>
  <c r="H46" i="51"/>
  <c r="K45" i="51"/>
  <c r="I45" i="51"/>
  <c r="G44" i="51"/>
  <c r="G48" i="51" s="1"/>
  <c r="G36" i="51"/>
  <c r="E31" i="62" s="1"/>
  <c r="F36" i="51"/>
  <c r="E5" i="54" s="1"/>
  <c r="F32" i="51"/>
  <c r="E32" i="51"/>
  <c r="E29" i="51"/>
  <c r="L5" i="51"/>
  <c r="L4" i="51"/>
  <c r="L3" i="51"/>
  <c r="L6" i="51" s="1"/>
  <c r="I14" i="50"/>
  <c r="G14" i="50"/>
  <c r="G11" i="50"/>
  <c r="G10" i="50"/>
  <c r="G9" i="50"/>
  <c r="D6" i="50"/>
  <c r="E13" i="49"/>
  <c r="H12" i="49"/>
  <c r="E12" i="49"/>
  <c r="E11" i="49"/>
  <c r="E10" i="49"/>
  <c r="D6" i="49"/>
  <c r="D5" i="49"/>
  <c r="F269" i="48"/>
  <c r="M209" i="48"/>
  <c r="F208" i="48"/>
  <c r="F147" i="48"/>
  <c r="M87" i="48"/>
  <c r="F84" i="48"/>
  <c r="F23" i="48"/>
  <c r="G17" i="48"/>
  <c r="F17" i="48"/>
  <c r="G16" i="48"/>
  <c r="F16" i="48"/>
  <c r="N7" i="48"/>
  <c r="N4" i="48"/>
  <c r="N1" i="48"/>
  <c r="E42" i="47"/>
  <c r="E38" i="47"/>
  <c r="E32" i="47"/>
  <c r="E31" i="47"/>
  <c r="E28" i="47"/>
  <c r="E24" i="47"/>
  <c r="D15" i="47"/>
  <c r="D14" i="47"/>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c r="H53" i="43"/>
  <c r="H52" i="43"/>
  <c r="H51" i="43"/>
  <c r="H50" i="43"/>
  <c r="I49" i="43"/>
  <c r="I48" i="43" s="1"/>
  <c r="H48" i="43" s="1"/>
  <c r="H49" i="43"/>
  <c r="H47" i="43"/>
  <c r="H46" i="43"/>
  <c r="H45" i="43"/>
  <c r="I44" i="43"/>
  <c r="H44" i="43"/>
  <c r="H43" i="43"/>
  <c r="H42" i="43"/>
  <c r="H41" i="43"/>
  <c r="H40" i="43"/>
  <c r="I39" i="43"/>
  <c r="H39" i="43" s="1"/>
  <c r="I38" i="43"/>
  <c r="I58" i="43" s="1"/>
  <c r="H58" i="43" s="1"/>
  <c r="I36" i="43"/>
  <c r="H36" i="43" s="1"/>
  <c r="H35" i="43"/>
  <c r="H34" i="43"/>
  <c r="H33" i="43"/>
  <c r="I32" i="43"/>
  <c r="H32" i="43"/>
  <c r="H31" i="43"/>
  <c r="H30" i="43"/>
  <c r="H29" i="43"/>
  <c r="I28" i="43"/>
  <c r="H28" i="43"/>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K69" i="33"/>
  <c r="J69" i="33"/>
  <c r="I69" i="33"/>
  <c r="H69" i="33"/>
  <c r="F69" i="33"/>
  <c r="E69" i="33"/>
  <c r="K68" i="33"/>
  <c r="J68" i="33"/>
  <c r="L68" i="33" s="1"/>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K33" i="33"/>
  <c r="J33" i="33"/>
  <c r="I33" i="33"/>
  <c r="H33" i="33"/>
  <c r="H31" i="33" s="1"/>
  <c r="H136" i="33" s="1"/>
  <c r="F33" i="33"/>
  <c r="E33" i="33"/>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S5" i="31"/>
  <c r="AV4" i="31"/>
  <c r="AG4" i="31"/>
  <c r="S4" i="31"/>
  <c r="I5" i="31" s="1"/>
  <c r="J6" i="31" s="1"/>
  <c r="AV3" i="31"/>
  <c r="AG3" i="31"/>
  <c r="S3" i="31"/>
  <c r="AV2" i="31"/>
  <c r="AS2" i="31"/>
  <c r="AG2" i="31"/>
  <c r="S2" i="31"/>
  <c r="AV54" i="30"/>
  <c r="AV53" i="30"/>
  <c r="AV52" i="30"/>
  <c r="AV51" i="30"/>
  <c r="AV50" i="30"/>
  <c r="AV49" i="30"/>
  <c r="AV48" i="30"/>
  <c r="AV47" i="30"/>
  <c r="AT47" i="30"/>
  <c r="AS47" i="30"/>
  <c r="AV46" i="30"/>
  <c r="AV45" i="30"/>
  <c r="AV44" i="30"/>
  <c r="AV43" i="30"/>
  <c r="AV42" i="30"/>
  <c r="AS42" i="30"/>
  <c r="AN41" i="30"/>
  <c r="AO41" i="30" s="1"/>
  <c r="AQ41" i="30" s="1"/>
  <c r="AR41" i="30" s="1"/>
  <c r="AS41" i="30" s="1"/>
  <c r="AM41" i="30"/>
  <c r="AD41" i="30"/>
  <c r="AF41" i="30" s="1"/>
  <c r="AG41" i="30" s="1"/>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J6" i="28" s="1"/>
  <c r="S6"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V41" i="25"/>
  <c r="W41" i="25" s="1"/>
  <c r="X41" i="25" s="1"/>
  <c r="Y41" i="25" s="1"/>
  <c r="AA41" i="25" s="1"/>
  <c r="U41" i="25"/>
  <c r="V39" i="25"/>
  <c r="V33" i="25"/>
  <c r="V32" i="25"/>
  <c r="V30" i="25"/>
  <c r="V29" i="25"/>
  <c r="V28" i="25"/>
  <c r="V27" i="25"/>
  <c r="S25" i="25"/>
  <c r="S24" i="25"/>
  <c r="AN14" i="25"/>
  <c r="AN13" i="25"/>
  <c r="AN12" i="25"/>
  <c r="AN11" i="25"/>
  <c r="AN10" i="25"/>
  <c r="AN9" i="25"/>
  <c r="AN8" i="25"/>
  <c r="AL8" i="25"/>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J7" i="20"/>
  <c r="AX6" i="20"/>
  <c r="I6" i="20"/>
  <c r="AX5" i="20"/>
  <c r="AB5" i="20"/>
  <c r="S5" i="20"/>
  <c r="AX4" i="20"/>
  <c r="AB4" i="20"/>
  <c r="S4" i="20"/>
  <c r="AX3" i="20"/>
  <c r="AB3" i="20"/>
  <c r="S3" i="20"/>
  <c r="AX2" i="20"/>
  <c r="AB2" i="20"/>
  <c r="S2" i="20"/>
  <c r="BC71" i="19"/>
  <c r="BC70" i="19"/>
  <c r="BC69" i="19"/>
  <c r="BC68" i="19"/>
  <c r="BC67" i="19"/>
  <c r="BC66" i="19"/>
  <c r="BC65" i="19"/>
  <c r="BC63" i="19"/>
  <c r="AT63" i="19"/>
  <c r="AK63" i="19"/>
  <c r="AB63" i="19"/>
  <c r="BC61" i="19"/>
  <c r="BA61" i="19"/>
  <c r="BC60" i="19"/>
  <c r="BC59" i="19"/>
  <c r="BC58" i="19"/>
  <c r="BC57" i="19"/>
  <c r="AT57" i="19"/>
  <c r="AK57" i="19"/>
  <c r="AB57" i="19"/>
  <c r="BC56" i="19"/>
  <c r="BA56" i="19"/>
  <c r="BC55" i="19"/>
  <c r="BA55" i="19"/>
  <c r="BC54" i="19"/>
  <c r="BC53" i="19"/>
  <c r="BC52" i="19"/>
  <c r="BC51" i="19"/>
  <c r="BC50" i="19"/>
  <c r="BC49" i="19"/>
  <c r="AZ49" i="19"/>
  <c r="AS48" i="19"/>
  <c r="AT48" i="19" s="1"/>
  <c r="AU48" i="19" s="1"/>
  <c r="AV48" i="19" s="1"/>
  <c r="AX48" i="19" s="1"/>
  <c r="AY48" i="19" s="1"/>
  <c r="AZ48" i="19" s="1"/>
  <c r="AJ48" i="19"/>
  <c r="AK48" i="19" s="1"/>
  <c r="AL48" i="19" s="1"/>
  <c r="AM48" i="19" s="1"/>
  <c r="AO48" i="19" s="1"/>
  <c r="AP48" i="19" s="1"/>
  <c r="AA48" i="19"/>
  <c r="AB48" i="19" s="1"/>
  <c r="AC48" i="19" s="1"/>
  <c r="AD48" i="19" s="1"/>
  <c r="AF48" i="19" s="1"/>
  <c r="AG48" i="19" s="1"/>
  <c r="W48" i="19"/>
  <c r="X48" i="19" s="1"/>
  <c r="AP39" i="19"/>
  <c r="AG39" i="19"/>
  <c r="X39" i="19"/>
  <c r="AP38" i="19"/>
  <c r="AG38" i="19"/>
  <c r="X38" i="19"/>
  <c r="AP36" i="19"/>
  <c r="AG36" i="19"/>
  <c r="X36" i="19"/>
  <c r="AP35" i="19"/>
  <c r="AG35" i="19"/>
  <c r="X35" i="19"/>
  <c r="AP34" i="19"/>
  <c r="AG34" i="19"/>
  <c r="X34" i="19"/>
  <c r="AP33" i="19"/>
  <c r="AG33" i="19"/>
  <c r="X33" i="19"/>
  <c r="U31" i="19"/>
  <c r="U30" i="19"/>
  <c r="AK22" i="19"/>
  <c r="BC17" i="19"/>
  <c r="BC16" i="19"/>
  <c r="BC15" i="19"/>
  <c r="BC14" i="19"/>
  <c r="BC13" i="19"/>
  <c r="BC12" i="19"/>
  <c r="BC10" i="19"/>
  <c r="AT10" i="19"/>
  <c r="AK10" i="19"/>
  <c r="AB10" i="19"/>
  <c r="BC8" i="19"/>
  <c r="BA8" i="19"/>
  <c r="BC7" i="19"/>
  <c r="J7" i="19"/>
  <c r="K8" i="19" s="1"/>
  <c r="BC6" i="19"/>
  <c r="I6" i="19"/>
  <c r="BC5" i="19"/>
  <c r="AG5" i="19"/>
  <c r="U5" i="19"/>
  <c r="BC4" i="19"/>
  <c r="AG4" i="19"/>
  <c r="U4" i="19"/>
  <c r="BC3" i="19"/>
  <c r="AG3" i="19"/>
  <c r="U3" i="19"/>
  <c r="BC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J7" i="18"/>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G42" i="17"/>
  <c r="AH42" i="17" s="1"/>
  <c r="AI42" i="17" s="1"/>
  <c r="AK42" i="17" s="1"/>
  <c r="AL42" i="17" s="1"/>
  <c r="AM42" i="17" s="1"/>
  <c r="AF42" i="17"/>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J7" i="16"/>
  <c r="S7"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I6" i="13"/>
  <c r="S6" i="13" s="1"/>
  <c r="AP5" i="13"/>
  <c r="AD5" i="13"/>
  <c r="S5" i="13"/>
  <c r="AP4" i="13"/>
  <c r="AD4" i="13"/>
  <c r="S4" i="13"/>
  <c r="AP3" i="13"/>
  <c r="AD3" i="13"/>
  <c r="S3" i="13"/>
  <c r="AP2" i="13"/>
  <c r="AD2" i="13"/>
  <c r="S2" i="13"/>
  <c r="AX61" i="12"/>
  <c r="AX60" i="12"/>
  <c r="AX59" i="12"/>
  <c r="AX58" i="12"/>
  <c r="AX57" i="12"/>
  <c r="AX56" i="12"/>
  <c r="AX55" i="12"/>
  <c r="AX54" i="12"/>
  <c r="AO54" i="12"/>
  <c r="AG54" i="12"/>
  <c r="Y54" i="12"/>
  <c r="AX53" i="12"/>
  <c r="AV53" i="12"/>
  <c r="AX52" i="12"/>
  <c r="AX51" i="12"/>
  <c r="AX50" i="12"/>
  <c r="AO50" i="12"/>
  <c r="AG50" i="12"/>
  <c r="Y50" i="12"/>
  <c r="AX49" i="12"/>
  <c r="AV49" i="12"/>
  <c r="AX48" i="12"/>
  <c r="AX47" i="12"/>
  <c r="AX46" i="12"/>
  <c r="AX45" i="12"/>
  <c r="AX44" i="12"/>
  <c r="AX43" i="12"/>
  <c r="AU43" i="12"/>
  <c r="AN42" i="12"/>
  <c r="AO42" i="12" s="1"/>
  <c r="AP42" i="12" s="1"/>
  <c r="AQ42" i="12" s="1"/>
  <c r="AS42" i="12" s="1"/>
  <c r="AT42" i="12" s="1"/>
  <c r="AU42" i="12" s="1"/>
  <c r="AF42" i="12"/>
  <c r="AG42" i="12" s="1"/>
  <c r="AH42" i="12" s="1"/>
  <c r="AI42" i="12" s="1"/>
  <c r="AK42" i="12" s="1"/>
  <c r="AL42" i="12" s="1"/>
  <c r="X42" i="12"/>
  <c r="Y42" i="12" s="1"/>
  <c r="Z42" i="12" s="1"/>
  <c r="AA42" i="12" s="1"/>
  <c r="AC42" i="12" s="1"/>
  <c r="AD42" i="12" s="1"/>
  <c r="U42" i="12"/>
  <c r="V42" i="12" s="1"/>
  <c r="AL35" i="12"/>
  <c r="AD35" i="12"/>
  <c r="V35" i="12"/>
  <c r="AL34" i="12"/>
  <c r="AD34" i="12"/>
  <c r="V34" i="12"/>
  <c r="AL32" i="12"/>
  <c r="AD32" i="12"/>
  <c r="V32" i="12"/>
  <c r="AL31" i="12"/>
  <c r="AD31" i="12"/>
  <c r="V31" i="12"/>
  <c r="AL30" i="12"/>
  <c r="AD30" i="12"/>
  <c r="V30" i="12"/>
  <c r="AL29" i="12"/>
  <c r="AD29" i="12"/>
  <c r="V29" i="12"/>
  <c r="S27" i="12"/>
  <c r="S26" i="12"/>
  <c r="AG18" i="12"/>
  <c r="AX15" i="12"/>
  <c r="AX14" i="12"/>
  <c r="AX13" i="12"/>
  <c r="AX12" i="12"/>
  <c r="AX11" i="12"/>
  <c r="AX10" i="12"/>
  <c r="AX9" i="12"/>
  <c r="AO9" i="12"/>
  <c r="AG9" i="12"/>
  <c r="Y9" i="12"/>
  <c r="AX8" i="12"/>
  <c r="AV8" i="12"/>
  <c r="AX7" i="12"/>
  <c r="AX6" i="12"/>
  <c r="AX5" i="12"/>
  <c r="AD5" i="12"/>
  <c r="S5" i="12"/>
  <c r="I6" i="12" s="1"/>
  <c r="AX4" i="12"/>
  <c r="AD4" i="12"/>
  <c r="S4" i="12"/>
  <c r="AX3" i="12"/>
  <c r="AD3" i="12"/>
  <c r="S3" i="12"/>
  <c r="AX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D34" i="7"/>
  <c r="E33" i="7"/>
  <c r="D33" i="7"/>
  <c r="D37" i="7" s="1"/>
  <c r="D38" i="7" s="1"/>
  <c r="D39"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3" s="1"/>
  <c r="AO63" i="5"/>
  <c r="S44" i="13" s="1"/>
  <c r="AN63" i="5"/>
  <c r="S43" i="13" s="1"/>
  <c r="AM63" i="5"/>
  <c r="AD46" i="13" s="1"/>
  <c r="AL63" i="5"/>
  <c r="AD45" i="13"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AP33" i="5"/>
  <c r="U51" i="19" s="1"/>
  <c r="AO33" i="5"/>
  <c r="U50" i="19" s="1"/>
  <c r="AN33" i="5"/>
  <c r="U49" i="19" s="1"/>
  <c r="AM33" i="5"/>
  <c r="AG52" i="19" s="1"/>
  <c r="AL33" i="5"/>
  <c r="AG51" i="19" s="1"/>
  <c r="AJ33" i="5"/>
  <c r="AI33" i="5"/>
  <c r="AH33" i="5"/>
  <c r="G33" i="5"/>
  <c r="AQ28" i="5"/>
  <c r="L22" i="64" s="1"/>
  <c r="F23" i="64" s="1"/>
  <c r="AP28" i="5"/>
  <c r="L21" i="64" s="1"/>
  <c r="AO28" i="5"/>
  <c r="L20" i="64" s="1"/>
  <c r="AN28" i="5"/>
  <c r="L19" i="64" s="1"/>
  <c r="AM28" i="5"/>
  <c r="O22" i="64" s="1"/>
  <c r="AL28" i="5"/>
  <c r="O21" i="64" s="1"/>
  <c r="AK28" i="5"/>
  <c r="O20" i="64" s="1"/>
  <c r="AJ28" i="5"/>
  <c r="AD43" i="16" s="1"/>
  <c r="AI28" i="5"/>
  <c r="AH28" i="5"/>
  <c r="AQ18" i="5"/>
  <c r="S46" i="12" s="1"/>
  <c r="I47" i="12" s="1"/>
  <c r="AP18" i="5"/>
  <c r="S45" i="12" s="1"/>
  <c r="AO18" i="5"/>
  <c r="S44" i="12" s="1"/>
  <c r="AN18" i="5"/>
  <c r="S43" i="12" s="1"/>
  <c r="AM18" i="5"/>
  <c r="AD46" i="12" s="1"/>
  <c r="AL18" i="5"/>
  <c r="AD45" i="12" s="1"/>
  <c r="AJ18" i="5"/>
  <c r="AH18" i="5"/>
  <c r="G18" i="5"/>
  <c r="AI18" i="5" s="1"/>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c r="J13" i="3"/>
  <c r="E13" i="3"/>
  <c r="E12" i="3"/>
  <c r="G12" i="3" s="1"/>
  <c r="E4" i="3"/>
  <c r="E59" i="2"/>
  <c r="E49" i="2"/>
  <c r="E41" i="2"/>
  <c r="E31" i="2"/>
  <c r="E27" i="2"/>
  <c r="E26" i="2"/>
  <c r="F25" i="2"/>
  <c r="E22" i="2"/>
  <c r="E21" i="2"/>
  <c r="F20" i="2"/>
  <c r="E19" i="2"/>
  <c r="I9" i="2"/>
  <c r="E3" i="2"/>
  <c r="E2" i="2"/>
  <c r="H48" i="51" l="1"/>
  <c r="H53" i="51"/>
  <c r="N18" i="5"/>
  <c r="AK18" i="5" s="1"/>
  <c r="AD44" i="12" s="1"/>
  <c r="N33" i="5"/>
  <c r="AK33" i="5" s="1"/>
  <c r="AG50" i="19" s="1"/>
  <c r="D41" i="7"/>
  <c r="D40" i="7"/>
  <c r="D43" i="7"/>
  <c r="D44" i="7" s="1"/>
  <c r="D45" i="7" s="1"/>
  <c r="J7" i="12"/>
  <c r="S6" i="12"/>
  <c r="I8" i="39"/>
  <c r="H15" i="34"/>
  <c r="M11" i="35"/>
  <c r="I10" i="50"/>
  <c r="I27" i="40"/>
  <c r="H10" i="45"/>
  <c r="I11" i="38"/>
  <c r="I11" i="37"/>
  <c r="I26" i="33"/>
  <c r="I47" i="17"/>
  <c r="J48" i="17"/>
  <c r="J48" i="15"/>
  <c r="S47" i="15"/>
  <c r="K8" i="14"/>
  <c r="S8" i="14" s="1"/>
  <c r="S7" i="14"/>
  <c r="J48" i="11"/>
  <c r="S47" i="11"/>
  <c r="S7" i="17"/>
  <c r="K8" i="17"/>
  <c r="S8" i="17" s="1"/>
  <c r="S47" i="12"/>
  <c r="J55" i="12"/>
  <c r="J54" i="12"/>
  <c r="J52" i="12"/>
  <c r="J48" i="12"/>
  <c r="J53" i="12"/>
  <c r="S47" i="14"/>
  <c r="J48" i="14"/>
  <c r="S6" i="11"/>
  <c r="J7" i="11"/>
  <c r="I11" i="50"/>
  <c r="H11" i="45"/>
  <c r="I9" i="39"/>
  <c r="I12" i="38"/>
  <c r="I12" i="37"/>
  <c r="H16" i="34"/>
  <c r="I27" i="33"/>
  <c r="M12" i="35"/>
  <c r="I28" i="40"/>
  <c r="J47" i="25"/>
  <c r="K48" i="25"/>
  <c r="S48" i="25" s="1"/>
  <c r="I46" i="25"/>
  <c r="D36" i="7"/>
  <c r="AD43" i="13"/>
  <c r="AD44" i="13"/>
  <c r="S45" i="14"/>
  <c r="AD46" i="14"/>
  <c r="S43" i="16"/>
  <c r="S44" i="16"/>
  <c r="AD45" i="16"/>
  <c r="J6" i="23"/>
  <c r="S5" i="23"/>
  <c r="S5" i="27"/>
  <c r="J6" i="27"/>
  <c r="G2" i="48"/>
  <c r="G148" i="48"/>
  <c r="G87" i="48"/>
  <c r="G270" i="48"/>
  <c r="G209" i="48"/>
  <c r="G24" i="48"/>
  <c r="G5" i="48"/>
  <c r="G212" i="48"/>
  <c r="G90" i="48"/>
  <c r="G27" i="48"/>
  <c r="G151" i="48"/>
  <c r="G273" i="48"/>
  <c r="F30" i="48"/>
  <c r="F154" i="48"/>
  <c r="F93" i="48"/>
  <c r="F276" i="48"/>
  <c r="F215" i="48"/>
  <c r="F218" i="48"/>
  <c r="F157" i="48"/>
  <c r="F279" i="48"/>
  <c r="F96" i="48"/>
  <c r="F33" i="48"/>
  <c r="G282" i="48"/>
  <c r="G160" i="48"/>
  <c r="G36" i="48"/>
  <c r="G99" i="48"/>
  <c r="G221" i="48"/>
  <c r="AD43" i="17"/>
  <c r="F102" i="48"/>
  <c r="F39" i="48"/>
  <c r="F224" i="48"/>
  <c r="F163" i="48"/>
  <c r="F285" i="48"/>
  <c r="G288" i="48"/>
  <c r="G166" i="48"/>
  <c r="G42" i="48"/>
  <c r="G105" i="48"/>
  <c r="G227" i="48"/>
  <c r="F108" i="48"/>
  <c r="F45" i="48"/>
  <c r="F230" i="48"/>
  <c r="F169" i="48"/>
  <c r="F291" i="48"/>
  <c r="G294" i="48"/>
  <c r="G172" i="48"/>
  <c r="G48" i="48"/>
  <c r="G233" i="48"/>
  <c r="G111" i="48"/>
  <c r="AC42" i="25"/>
  <c r="G236" i="48"/>
  <c r="G114" i="48"/>
  <c r="G51" i="48"/>
  <c r="G175" i="48"/>
  <c r="G297" i="48"/>
  <c r="AC41" i="21"/>
  <c r="F54" i="48"/>
  <c r="F178" i="48"/>
  <c r="F117" i="48"/>
  <c r="F300" i="48"/>
  <c r="F239" i="48"/>
  <c r="S44" i="22"/>
  <c r="J45" i="22"/>
  <c r="G242" i="48"/>
  <c r="G120" i="48"/>
  <c r="G303" i="48"/>
  <c r="G57" i="48"/>
  <c r="G181" i="48"/>
  <c r="AC41" i="23"/>
  <c r="F60" i="48"/>
  <c r="F184" i="48"/>
  <c r="F123" i="48"/>
  <c r="F306" i="48"/>
  <c r="F245" i="48"/>
  <c r="J45" i="24"/>
  <c r="S44" i="24"/>
  <c r="G248" i="48"/>
  <c r="G126" i="48"/>
  <c r="G187" i="48"/>
  <c r="G309" i="48"/>
  <c r="G63" i="48"/>
  <c r="AD46" i="26"/>
  <c r="F312" i="48"/>
  <c r="F251" i="48"/>
  <c r="F66" i="48"/>
  <c r="F190" i="48"/>
  <c r="F129" i="48"/>
  <c r="J46" i="30"/>
  <c r="S45" i="30"/>
  <c r="G254" i="48"/>
  <c r="G132" i="48"/>
  <c r="G69" i="48"/>
  <c r="AG42" i="31"/>
  <c r="G193" i="48"/>
  <c r="G315" i="48"/>
  <c r="F196" i="48"/>
  <c r="F135" i="48"/>
  <c r="F318" i="48"/>
  <c r="F257" i="48"/>
  <c r="F72" i="48"/>
  <c r="G260" i="48"/>
  <c r="G138" i="48"/>
  <c r="G75" i="48"/>
  <c r="G199" i="48"/>
  <c r="G321" i="48"/>
  <c r="AC41" i="27"/>
  <c r="F78" i="48"/>
  <c r="F202" i="48"/>
  <c r="F141" i="48"/>
  <c r="F324" i="48"/>
  <c r="F263" i="48"/>
  <c r="S44" i="28"/>
  <c r="J45" i="28"/>
  <c r="G266" i="48"/>
  <c r="G144" i="48"/>
  <c r="G327" i="48"/>
  <c r="AD46" i="29"/>
  <c r="G81" i="48"/>
  <c r="G205" i="48"/>
  <c r="D35" i="7"/>
  <c r="J7" i="13"/>
  <c r="S46" i="13"/>
  <c r="I47" i="13" s="1"/>
  <c r="S6" i="14"/>
  <c r="S43" i="14"/>
  <c r="S44" i="14"/>
  <c r="AD45" i="14"/>
  <c r="J7" i="15"/>
  <c r="K8" i="16"/>
  <c r="S8" i="16" s="1"/>
  <c r="AD44" i="16"/>
  <c r="L9" i="19"/>
  <c r="U9" i="19" s="1"/>
  <c r="U8" i="19"/>
  <c r="S5" i="24"/>
  <c r="J6" i="24"/>
  <c r="I9" i="50"/>
  <c r="H9" i="45"/>
  <c r="I10" i="38"/>
  <c r="I10" i="37"/>
  <c r="I25" i="33"/>
  <c r="H14" i="34"/>
  <c r="M10" i="35"/>
  <c r="I26" i="40"/>
  <c r="I7" i="39"/>
  <c r="L23" i="64"/>
  <c r="G24" i="64"/>
  <c r="J65" i="19"/>
  <c r="J64" i="19"/>
  <c r="J62" i="19"/>
  <c r="J60" i="19"/>
  <c r="J63" i="19"/>
  <c r="J61" i="19"/>
  <c r="J54" i="19"/>
  <c r="I47" i="18"/>
  <c r="J48" i="18"/>
  <c r="J50" i="20"/>
  <c r="K51" i="20"/>
  <c r="S51" i="20" s="1"/>
  <c r="I49" i="20"/>
  <c r="AD43" i="12"/>
  <c r="S46" i="16"/>
  <c r="K8" i="18"/>
  <c r="S8" i="18" s="1"/>
  <c r="S7" i="18"/>
  <c r="J6" i="22"/>
  <c r="S5" i="22"/>
  <c r="F209" i="48"/>
  <c r="F87" i="48"/>
  <c r="F24" i="48"/>
  <c r="F148" i="48"/>
  <c r="F270" i="48"/>
  <c r="F273" i="48"/>
  <c r="F90" i="48"/>
  <c r="F27" i="48"/>
  <c r="F212" i="48"/>
  <c r="F151" i="48"/>
  <c r="O19" i="64"/>
  <c r="G276" i="48"/>
  <c r="G154" i="48"/>
  <c r="G30" i="48"/>
  <c r="G93" i="48"/>
  <c r="G215" i="48"/>
  <c r="G218" i="48"/>
  <c r="G96" i="48"/>
  <c r="G279" i="48"/>
  <c r="G33" i="48"/>
  <c r="G157" i="48"/>
  <c r="AG49" i="19"/>
  <c r="F36" i="48"/>
  <c r="F160" i="48"/>
  <c r="F99" i="48"/>
  <c r="F282" i="48"/>
  <c r="F221" i="48"/>
  <c r="G224" i="48"/>
  <c r="G102" i="48"/>
  <c r="G163" i="48"/>
  <c r="G285" i="48"/>
  <c r="G39" i="48"/>
  <c r="AD43" i="18"/>
  <c r="F288" i="48"/>
  <c r="F227" i="48"/>
  <c r="F42" i="48"/>
  <c r="F166" i="48"/>
  <c r="F105" i="48"/>
  <c r="G230" i="48"/>
  <c r="G108" i="48"/>
  <c r="G45" i="48"/>
  <c r="G169" i="48"/>
  <c r="G291" i="48"/>
  <c r="AB45" i="20"/>
  <c r="F172" i="48"/>
  <c r="F111" i="48"/>
  <c r="F294" i="48"/>
  <c r="F233" i="48"/>
  <c r="F48" i="48"/>
  <c r="F297" i="48"/>
  <c r="F114" i="48"/>
  <c r="F51" i="48"/>
  <c r="F236" i="48"/>
  <c r="F175" i="48"/>
  <c r="S44" i="21"/>
  <c r="J45" i="21"/>
  <c r="G300" i="48"/>
  <c r="G178" i="48"/>
  <c r="G54" i="48"/>
  <c r="G117" i="48"/>
  <c r="G239" i="48"/>
  <c r="AC41" i="22"/>
  <c r="F242" i="48"/>
  <c r="F181" i="48"/>
  <c r="F303" i="48"/>
  <c r="F120" i="48"/>
  <c r="F57" i="48"/>
  <c r="J45" i="23"/>
  <c r="S44" i="23"/>
  <c r="G306" i="48"/>
  <c r="G184" i="48"/>
  <c r="G60" i="48"/>
  <c r="G123" i="48"/>
  <c r="G245" i="48"/>
  <c r="AC41" i="24"/>
  <c r="F126" i="48"/>
  <c r="F63" i="48"/>
  <c r="F248" i="48"/>
  <c r="F187" i="48"/>
  <c r="F309" i="48"/>
  <c r="G312" i="48"/>
  <c r="G190" i="48"/>
  <c r="G66" i="48"/>
  <c r="AG42" i="30"/>
  <c r="G129" i="48"/>
  <c r="G251" i="48"/>
  <c r="F132" i="48"/>
  <c r="F69" i="48"/>
  <c r="F254" i="48"/>
  <c r="F193" i="48"/>
  <c r="F315" i="48"/>
  <c r="J46" i="31"/>
  <c r="S45" i="31"/>
  <c r="G318" i="48"/>
  <c r="G196" i="48"/>
  <c r="G72" i="48"/>
  <c r="G257" i="48"/>
  <c r="G135" i="48"/>
  <c r="AD46" i="32"/>
  <c r="F321" i="48"/>
  <c r="F138" i="48"/>
  <c r="F75" i="48"/>
  <c r="F260" i="48"/>
  <c r="F199" i="48"/>
  <c r="S44" i="27"/>
  <c r="J45" i="27"/>
  <c r="G324" i="48"/>
  <c r="G202" i="48"/>
  <c r="G78" i="48"/>
  <c r="G141" i="48"/>
  <c r="G263" i="48"/>
  <c r="AC41" i="28"/>
  <c r="F266" i="48"/>
  <c r="F205" i="48"/>
  <c r="F327" i="48"/>
  <c r="F144" i="48"/>
  <c r="F81" i="48"/>
  <c r="AD43" i="11"/>
  <c r="S45" i="16"/>
  <c r="AD46" i="16"/>
  <c r="I6" i="25"/>
  <c r="K8" i="25"/>
  <c r="S8" i="25" s="1"/>
  <c r="S5" i="28"/>
  <c r="U7" i="19"/>
  <c r="J6" i="21"/>
  <c r="I31" i="33"/>
  <c r="I136" i="33" s="1"/>
  <c r="S5" i="30"/>
  <c r="J6" i="30"/>
  <c r="S6" i="31"/>
  <c r="K7" i="31"/>
  <c r="S7" i="31" s="1"/>
  <c r="K7" i="28"/>
  <c r="S7" i="28" s="1"/>
  <c r="H38" i="43"/>
  <c r="U148" i="63"/>
  <c r="AA16" i="63"/>
  <c r="AA15" i="63"/>
  <c r="AA12" i="63"/>
  <c r="E32" i="62"/>
  <c r="E30" i="62"/>
  <c r="AA13" i="63"/>
  <c r="E5" i="62"/>
  <c r="E3" i="62"/>
  <c r="J47" i="51"/>
  <c r="J46" i="51"/>
  <c r="M270" i="48"/>
  <c r="M148" i="48"/>
  <c r="M24" i="48"/>
  <c r="E14" i="48"/>
  <c r="E35" i="47"/>
  <c r="E25" i="47"/>
  <c r="G17" i="46"/>
  <c r="U14" i="63"/>
  <c r="E29" i="62"/>
  <c r="E6" i="62"/>
  <c r="U15" i="63"/>
  <c r="AA11" i="63"/>
  <c r="J50" i="51"/>
  <c r="J51" i="51"/>
  <c r="J45" i="51" s="1"/>
  <c r="E5" i="2" s="1"/>
  <c r="J52" i="51"/>
  <c r="E5" i="55"/>
  <c r="G53" i="51"/>
  <c r="G50" i="51"/>
  <c r="G49" i="51"/>
  <c r="G46" i="51"/>
  <c r="H47" i="51"/>
  <c r="H50" i="51"/>
  <c r="E24" i="52"/>
  <c r="E4" i="62"/>
  <c r="F2" i="54"/>
  <c r="S6" i="21" l="1"/>
  <c r="K7" i="21"/>
  <c r="S7" i="21" s="1"/>
  <c r="S7" i="13"/>
  <c r="K8" i="13"/>
  <c r="S8" i="13" s="1"/>
  <c r="K7" i="27"/>
  <c r="S7" i="27" s="1"/>
  <c r="S6" i="27"/>
  <c r="K8" i="11"/>
  <c r="S8" i="11" s="1"/>
  <c r="S7" i="11"/>
  <c r="D4" i="4"/>
  <c r="B5" i="1"/>
  <c r="S6" i="22"/>
  <c r="K7" i="22"/>
  <c r="S7" i="22" s="1"/>
  <c r="S48" i="18"/>
  <c r="K49" i="18"/>
  <c r="S49" i="18" s="1"/>
  <c r="K7" i="24"/>
  <c r="S7" i="24" s="1"/>
  <c r="S6" i="24"/>
  <c r="S45" i="28"/>
  <c r="K46" i="28"/>
  <c r="S46" i="28" s="1"/>
  <c r="S45" i="27"/>
  <c r="K46" i="27"/>
  <c r="S46" i="27" s="1"/>
  <c r="U60" i="19"/>
  <c r="K61" i="19"/>
  <c r="L24" i="64"/>
  <c r="H25" i="64"/>
  <c r="L25" i="64" s="1"/>
  <c r="S46" i="30"/>
  <c r="K47" i="30"/>
  <c r="S47" i="30" s="1"/>
  <c r="S48" i="12"/>
  <c r="K49" i="12"/>
  <c r="S49" i="12" s="1"/>
  <c r="S48" i="11"/>
  <c r="K49" i="11"/>
  <c r="S49" i="11" s="1"/>
  <c r="K49" i="15"/>
  <c r="S49" i="15" s="1"/>
  <c r="S48" i="15"/>
  <c r="K46" i="24"/>
  <c r="S46" i="24" s="1"/>
  <c r="S45" i="24"/>
  <c r="S45" i="22"/>
  <c r="K46" i="22"/>
  <c r="S46" i="22" s="1"/>
  <c r="S48" i="14"/>
  <c r="K49" i="14"/>
  <c r="S49" i="14" s="1"/>
  <c r="S52" i="12"/>
  <c r="K53" i="12"/>
  <c r="S53" i="12" s="1"/>
  <c r="K49" i="17"/>
  <c r="S49" i="17" s="1"/>
  <c r="S48" i="17"/>
  <c r="S7" i="12"/>
  <c r="K8" i="12"/>
  <c r="S8" i="12" s="1"/>
  <c r="K55" i="19"/>
  <c r="U54" i="19"/>
  <c r="S7" i="15"/>
  <c r="K8" i="15"/>
  <c r="S8" i="15" s="1"/>
  <c r="S6" i="30"/>
  <c r="K7" i="30"/>
  <c r="S7" i="30" s="1"/>
  <c r="K47" i="31"/>
  <c r="S47" i="31" s="1"/>
  <c r="S46" i="31"/>
  <c r="S45" i="23"/>
  <c r="K46" i="23"/>
  <c r="S46" i="23" s="1"/>
  <c r="K46" i="21"/>
  <c r="S46" i="21" s="1"/>
  <c r="S45" i="21"/>
  <c r="J48" i="16"/>
  <c r="I47" i="16"/>
  <c r="J48" i="13"/>
  <c r="S47" i="13"/>
  <c r="K7" i="23"/>
  <c r="S7" i="23" s="1"/>
  <c r="S6" i="23"/>
  <c r="D49" i="7"/>
  <c r="D46" i="7"/>
  <c r="D48" i="7"/>
  <c r="D47" i="7"/>
  <c r="D51" i="7"/>
  <c r="K49" i="13" l="1"/>
  <c r="S49" i="13" s="1"/>
  <c r="S48" i="13"/>
  <c r="L62" i="19"/>
  <c r="U62" i="19" s="1"/>
  <c r="U61" i="19"/>
  <c r="K49" i="16"/>
  <c r="S49" i="16" s="1"/>
  <c r="S48" i="16"/>
  <c r="L56" i="19"/>
  <c r="U56" i="19" s="1"/>
  <c r="U55"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<sst xmlns="http://schemas.openxmlformats.org/spreadsheetml/2006/main" count="16725" uniqueCount="4085">
  <si>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</si>
  <si>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</si>
  <si>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</si>
  <si>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</si>
  <si>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</si>
  <si>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</si>
  <si>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</si>
  <si>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</si>
  <si>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</si>
  <si>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</si>
  <si>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</si>
  <si>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</si>
  <si>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</si>
  <si>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26357464</t>
  </si>
  <si>
    <t>Flag_Row_Size</t>
  </si>
  <si>
    <t>Субъект РФ</t>
  </si>
  <si>
    <t>Курская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</si>
  <si>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</si>
  <si>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</si>
  <si>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</si>
  <si>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</si>
  <si>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</si>
  <si>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</si>
  <si>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</si>
  <si>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</si>
  <si>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</si>
  <si>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</si>
  <si>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</si>
  <si>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</si>
  <si>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</si>
  <si>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</si>
  <si>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</si>
  <si>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</si>
  <si>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</si>
  <si>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</si>
  <si>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</si>
  <si>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</si>
  <si>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</si>
  <si>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</si>
  <si>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</si>
  <si>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</si>
  <si>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05.2-1648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</si>
  <si>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</si>
  <si>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</si>
  <si>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</si>
  <si>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03.5-1382</t>
  </si>
  <si>
    <t>Наименование органа регулирования, принявшего решение об изменении тарифов</t>
  </si>
  <si>
    <t>МУП "Городские тепловые сети" МО  "город Курчатов"</t>
  </si>
  <si>
    <t>Наименование (описание) обособленного подразделения</t>
  </si>
  <si>
    <t>ИНН</t>
  </si>
  <si>
    <t>4634002573</t>
  </si>
  <si>
    <t>КПП</t>
  </si>
  <si>
    <t>463401001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</si>
  <si>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</si>
  <si>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</si>
  <si>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</si>
  <si>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</si>
  <si>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</si>
  <si>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</si>
  <si>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</si>
  <si>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</si>
  <si>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</si>
  <si>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</si>
  <si>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</si>
  <si>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</si>
  <si>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</si>
  <si>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</si>
  <si>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</si>
  <si>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</si>
  <si>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</si>
  <si>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</si>
  <si>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307250,Курская обл.,г.Курчатов,Успенский проезд д.2</t>
  </si>
  <si>
    <t>Фамилия, имя, отчество руководителя</t>
  </si>
  <si>
    <t>Константинов Андрей Алексеевич</t>
  </si>
  <si>
    <t>Ответственный за заполнение формы</t>
  </si>
  <si>
    <t>Фамилия, имя, отчество</t>
  </si>
  <si>
    <t>Баранчикова Людмила Дмитриевна</t>
  </si>
  <si>
    <t>Должность</t>
  </si>
  <si>
    <t>главный экономист</t>
  </si>
  <si>
    <t>Контактный телефон</t>
  </si>
  <si>
    <t>(47131) 4-47-73</t>
  </si>
  <si>
    <t>E-mail</t>
  </si>
  <si>
    <t>teplseti@list.ru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</si>
  <si>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</si>
  <si>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</si>
  <si>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</si>
  <si>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</si>
  <si>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</si>
  <si>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</si>
  <si>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</si>
  <si>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</si>
  <si>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</si>
  <si>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</si>
  <si>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</si>
  <si>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</si>
  <si>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</si>
  <si>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</si>
  <si>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</si>
  <si>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</si>
  <si>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</si>
  <si>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345</t>
  </si>
  <si>
    <t>город Курчатов</t>
  </si>
  <si>
    <t>38708000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</si>
  <si>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</si>
  <si>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</si>
  <si>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</si>
  <si>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</si>
  <si>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</si>
  <si>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</si>
  <si>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</si>
  <si>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</si>
  <si>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</si>
  <si>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</si>
  <si>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</si>
  <si>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</si>
  <si>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</si>
  <si>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</si>
  <si>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</si>
  <si>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</si>
  <si>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</si>
  <si>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</si>
  <si>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</si>
  <si>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</si>
  <si>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</si>
  <si>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</si>
  <si>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</si>
  <si>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</si>
  <si>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</si>
  <si>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</si>
  <si>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</si>
  <si>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</si>
  <si>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</si>
  <si>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</si>
  <si>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</si>
  <si>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</si>
  <si>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</si>
  <si>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</si>
  <si>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</si>
  <si>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</si>
  <si>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</si>
  <si>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</si>
  <si>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</si>
  <si>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</si>
  <si>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</si>
  <si>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</si>
  <si>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</si>
  <si>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</si>
  <si>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</si>
  <si>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</si>
  <si>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</si>
  <si>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</si>
  <si>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</si>
  <si>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</si>
  <si>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</si>
  <si>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</si>
  <si>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</si>
  <si>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</si>
  <si>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</si>
  <si>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</si>
  <si>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</si>
  <si>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</si>
  <si>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</si>
  <si>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(мощность), поставляемую потребителям</t>
  </si>
  <si>
    <t>"4190068";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</si>
  <si>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</si>
  <si>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</si>
  <si>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</si>
  <si>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</si>
  <si>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</si>
  <si>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</si>
  <si>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</si>
  <si>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</si>
  <si>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</si>
  <si>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</si>
  <si>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</si>
  <si>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</si>
  <si>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</si>
  <si>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</si>
  <si>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</si>
  <si>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</si>
  <si>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 на горячую воду в открытой системе теплоснабжения (горячее водоснабжение)</t>
  </si>
  <si>
    <t>"4190069"; "4190071"</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</si>
  <si>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</si>
  <si>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</si>
  <si>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</si>
  <si>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</si>
  <si>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</si>
  <si>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</si>
  <si>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</si>
  <si>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</si>
  <si>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</si>
  <si>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</si>
  <si>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</si>
  <si>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</si>
  <si>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</si>
  <si>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</si>
  <si>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</si>
  <si>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</si>
  <si>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</si>
  <si>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</si>
  <si>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</si>
  <si>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</si>
  <si>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</si>
  <si>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</si>
  <si>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</si>
  <si>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</si>
  <si>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</si>
  <si>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</si>
  <si>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</si>
  <si>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</si>
  <si>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</si>
  <si>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</si>
  <si>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</si>
  <si>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</si>
  <si>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</si>
  <si>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</si>
  <si>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</si>
  <si>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</si>
  <si>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</si>
  <si>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</si>
  <si>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</si>
  <si>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</si>
  <si>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</si>
  <si>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</si>
  <si>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</si>
  <si>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</si>
  <si>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</si>
  <si>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</si>
  <si>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</si>
  <si>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</si>
  <si>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</si>
  <si>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</si>
  <si>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</si>
  <si>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</si>
  <si>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</si>
  <si>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</si>
  <si>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</si>
  <si>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</si>
  <si>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</si>
  <si>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</si>
  <si>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</si>
  <si>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</si>
  <si>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</si>
  <si>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</si>
  <si>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</si>
  <si>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</si>
  <si>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</si>
  <si>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</si>
  <si>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</si>
  <si>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</si>
  <si>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</si>
  <si>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</si>
  <si>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</si>
  <si>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</si>
  <si>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</si>
  <si>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</si>
  <si>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</si>
  <si>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</si>
  <si>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</si>
  <si>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</si>
  <si>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</si>
  <si>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</si>
  <si>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</si>
  <si>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</si>
  <si>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</si>
  <si>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</si>
  <si>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</si>
  <si>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</si>
  <si>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</si>
  <si>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</si>
  <si>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</si>
  <si>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</si>
  <si>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</si>
  <si>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</si>
  <si>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</si>
  <si>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</si>
  <si>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</si>
  <si>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</si>
  <si>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</si>
  <si>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</si>
  <si>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</si>
  <si>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</si>
  <si>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</si>
  <si>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</si>
  <si>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</si>
  <si>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</si>
  <si>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</si>
  <si>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</si>
  <si>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</si>
  <si>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</si>
  <si>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</si>
  <si>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</si>
  <si>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</si>
  <si>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</si>
  <si>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</si>
  <si>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</si>
  <si>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</si>
  <si>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</si>
  <si>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</si>
  <si>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</si>
  <si>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</si>
  <si>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</si>
  <si>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</si>
  <si>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</si>
  <si>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</si>
  <si>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</si>
  <si>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</si>
  <si>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</si>
  <si>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</si>
  <si>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</si>
  <si>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</si>
  <si>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</si>
  <si>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</si>
  <si>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</si>
  <si>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</si>
  <si>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</si>
  <si>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</si>
  <si>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</si>
  <si>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</si>
  <si>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</si>
  <si>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</si>
  <si>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</si>
  <si>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</si>
  <si>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</si>
  <si>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</si>
  <si>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</si>
  <si>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</si>
  <si>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</si>
  <si>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</si>
  <si>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</si>
  <si>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</si>
  <si>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</si>
  <si>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</si>
  <si>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</si>
  <si>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</si>
  <si>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</si>
  <si>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</si>
  <si>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</si>
  <si>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</si>
  <si>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</si>
  <si>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</si>
  <si>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</si>
  <si>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</si>
  <si>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</si>
  <si>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</si>
  <si>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</si>
  <si>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</si>
  <si>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</si>
  <si>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</si>
  <si>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</si>
  <si>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</si>
  <si>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</si>
  <si>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</si>
  <si>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</si>
  <si>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</si>
  <si>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</si>
  <si>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</si>
  <si>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</si>
  <si>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</si>
  <si>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</si>
  <si>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</si>
  <si>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</si>
  <si>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</si>
  <si>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</si>
  <si>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</si>
  <si>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</si>
  <si>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</si>
  <si>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</si>
  <si>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</si>
  <si>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</si>
  <si>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</si>
  <si>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</si>
  <si>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</si>
  <si>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</si>
  <si>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</si>
  <si>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</si>
  <si>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</si>
  <si>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</si>
  <si>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</si>
  <si>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</si>
  <si>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</si>
  <si>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</si>
  <si>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</si>
  <si>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</si>
  <si>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</si>
  <si>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</si>
  <si>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</si>
  <si>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</si>
  <si>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</si>
  <si>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</si>
  <si>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</si>
  <si>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</si>
  <si>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</si>
  <si>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</si>
  <si>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</si>
  <si>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</si>
  <si>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</si>
  <si>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</si>
  <si>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</si>
  <si>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</si>
  <si>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</si>
  <si>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</si>
  <si>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</si>
  <si>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</si>
  <si>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</si>
  <si>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</si>
  <si>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</si>
  <si>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</si>
  <si>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</si>
  <si>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</si>
  <si>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</si>
  <si>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</si>
  <si>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</si>
  <si>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</si>
  <si>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</si>
  <si>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</si>
  <si>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</si>
  <si>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</si>
  <si>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</si>
  <si>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</si>
  <si>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</si>
  <si>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</si>
  <si>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</si>
  <si>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</si>
  <si>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</si>
  <si>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</si>
  <si>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</si>
  <si>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</si>
  <si>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</si>
  <si>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</si>
  <si>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</si>
  <si>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</si>
  <si>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</si>
  <si>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</si>
  <si>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</si>
  <si>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</si>
  <si>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</si>
  <si>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</si>
  <si>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</si>
  <si>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</si>
  <si>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</si>
  <si>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</si>
  <si>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</si>
  <si>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</si>
  <si>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</si>
  <si>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</si>
  <si>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</si>
  <si>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</si>
  <si>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</si>
  <si>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</si>
  <si>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</si>
  <si>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</si>
  <si>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</si>
  <si>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</si>
  <si>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</si>
  <si>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население</t>
  </si>
  <si>
    <t>горячая вода в системе централизованного теплоснабжения на отопление</t>
  </si>
  <si>
    <t>прочие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</si>
  <si>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</si>
  <si>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</si>
  <si>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</si>
  <si>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</si>
  <si>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</si>
  <si>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</si>
  <si>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</si>
  <si>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</si>
  <si>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</si>
  <si>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</si>
  <si>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</si>
  <si>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</si>
  <si>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</si>
  <si>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</si>
  <si>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</si>
  <si>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</si>
  <si>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</si>
  <si>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</si>
  <si>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</si>
  <si>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</si>
  <si>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</si>
  <si>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</si>
  <si>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</si>
  <si>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</si>
  <si>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</si>
  <si>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</si>
  <si>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</si>
  <si>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</si>
  <si>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</si>
  <si>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</si>
  <si>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</si>
  <si>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</si>
  <si>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</si>
  <si>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</si>
  <si>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</si>
  <si>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</si>
  <si>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</si>
  <si>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</si>
  <si>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</si>
  <si>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</si>
  <si>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</si>
  <si>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</si>
  <si>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</si>
  <si>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</si>
  <si>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</si>
  <si>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</si>
  <si>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</si>
  <si>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</si>
  <si>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</si>
  <si>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</si>
  <si>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</si>
  <si>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</si>
  <si>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</si>
  <si>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</si>
  <si>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</si>
  <si>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</si>
  <si>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</si>
  <si>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</si>
  <si>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</si>
  <si>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</si>
  <si>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</si>
  <si>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</si>
  <si>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</si>
  <si>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</si>
  <si>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</si>
  <si>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</si>
  <si>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</si>
  <si>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</si>
  <si>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</si>
  <si>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</si>
  <si>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</si>
  <si>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</si>
  <si>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</si>
  <si>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</si>
  <si>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</si>
  <si>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</si>
  <si>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</si>
  <si>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</si>
  <si>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</si>
  <si>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</si>
  <si>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</si>
  <si>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</si>
  <si>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</si>
  <si>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</si>
  <si>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</si>
  <si>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</si>
  <si>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</si>
  <si>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</si>
  <si>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</si>
  <si>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</si>
  <si>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</si>
  <si>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</si>
  <si>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</si>
  <si>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</si>
  <si>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</si>
  <si>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</si>
  <si>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</si>
  <si>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</si>
  <si>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</si>
  <si>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</si>
  <si>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</si>
  <si>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</si>
  <si>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</si>
  <si>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</si>
  <si>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</si>
  <si>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</si>
  <si>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</si>
  <si>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</si>
  <si>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</si>
  <si>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</si>
  <si>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</si>
  <si>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</si>
  <si>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</si>
  <si>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</si>
  <si>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</si>
  <si>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</si>
  <si>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</si>
  <si>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</si>
  <si>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</si>
  <si>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</si>
  <si>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</si>
  <si>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</si>
  <si>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</si>
  <si>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</si>
  <si>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</si>
  <si>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</si>
  <si>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</si>
  <si>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</si>
  <si>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</si>
  <si>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</si>
  <si>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</si>
  <si>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</si>
  <si>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</si>
  <si>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</si>
  <si>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</si>
  <si>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</si>
  <si>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</si>
  <si>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</si>
  <si>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</si>
  <si>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</si>
  <si>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</si>
  <si>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</si>
  <si>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</si>
  <si>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</si>
  <si>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</si>
  <si>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</si>
  <si>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</si>
  <si>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</si>
  <si>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</si>
  <si>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</si>
  <si>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</si>
  <si>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</si>
  <si>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</si>
  <si>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</si>
  <si>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</si>
  <si>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</si>
  <si>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</si>
  <si>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</si>
  <si>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</si>
  <si>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</si>
  <si>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</si>
  <si>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</si>
  <si>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</si>
  <si>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</si>
  <si>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</si>
  <si>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</si>
  <si>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</si>
  <si>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</si>
  <si>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</si>
  <si>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</si>
  <si>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</si>
  <si>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</si>
  <si>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</si>
  <si>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</si>
  <si>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</si>
  <si>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</si>
  <si>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</si>
  <si>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</si>
  <si>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</si>
  <si>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</si>
  <si>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</si>
  <si>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</si>
  <si>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</si>
  <si>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</si>
  <si>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</si>
  <si>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</si>
  <si>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</si>
  <si>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</si>
  <si>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</si>
  <si>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</si>
  <si>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</si>
  <si>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</si>
  <si>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</si>
  <si>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</si>
  <si>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</si>
  <si>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</si>
  <si>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</si>
  <si>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</si>
  <si>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</si>
  <si>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</si>
  <si>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</si>
  <si>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</si>
  <si>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</si>
  <si>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</si>
  <si>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</si>
  <si>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</si>
  <si>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</si>
  <si>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</si>
  <si>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</si>
  <si>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</si>
  <si>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</si>
  <si>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</si>
  <si>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</si>
  <si>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</si>
  <si>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</si>
  <si>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</si>
  <si>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</si>
  <si>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</si>
  <si>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</si>
  <si>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</si>
  <si>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</si>
  <si>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</si>
  <si>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</si>
  <si>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</si>
  <si>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</si>
  <si>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</si>
  <si>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</si>
  <si>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</si>
  <si>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</si>
  <si>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</si>
  <si>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</si>
  <si>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</si>
  <si>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</si>
  <si>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</si>
  <si>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</si>
  <si>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</si>
  <si>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</si>
  <si>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</si>
  <si>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</si>
  <si>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</si>
  <si>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</si>
  <si>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</si>
  <si>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</si>
  <si>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</si>
  <si>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</si>
  <si>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</si>
  <si>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</si>
  <si>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</si>
  <si>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</si>
  <si>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</si>
  <si>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</si>
  <si>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</si>
  <si>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</si>
  <si>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</si>
  <si>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</si>
  <si>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</si>
  <si>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</si>
  <si>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</si>
  <si>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</si>
  <si>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</si>
  <si>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</si>
  <si>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</si>
  <si>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</si>
  <si>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</si>
  <si>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</si>
  <si>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</si>
  <si>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</si>
  <si>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</si>
  <si>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</si>
  <si>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</si>
  <si>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</si>
  <si>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</si>
  <si>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</si>
  <si>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</si>
  <si>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</si>
  <si>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</si>
  <si>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</si>
  <si>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</si>
  <si>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</si>
  <si>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</si>
  <si>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</si>
  <si>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</si>
  <si>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</si>
  <si>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</si>
  <si>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</si>
  <si>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</si>
  <si>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</si>
  <si>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</si>
  <si>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</si>
  <si>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</si>
  <si>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</si>
  <si>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</si>
  <si>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</si>
  <si>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</si>
  <si>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</si>
  <si>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</si>
  <si>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</si>
  <si>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</si>
  <si>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</si>
  <si>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</si>
  <si>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</si>
  <si>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</si>
  <si>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</si>
  <si>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</si>
  <si>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</si>
  <si>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</si>
  <si>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</si>
  <si>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</si>
  <si>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</si>
  <si>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</si>
  <si>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</si>
  <si>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</si>
  <si>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</si>
  <si>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</si>
  <si>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</si>
  <si>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</si>
  <si>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</si>
  <si>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</si>
  <si>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</si>
  <si>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</si>
  <si>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</si>
  <si>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</si>
  <si>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</si>
  <si>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</si>
  <si>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</si>
  <si>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</si>
  <si>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</si>
  <si>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</si>
  <si>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</si>
  <si>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</si>
  <si>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</si>
  <si>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</si>
  <si>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</si>
  <si>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</si>
  <si>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</si>
  <si>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</si>
  <si>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</si>
  <si>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</si>
  <si>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</si>
  <si>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</si>
  <si>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</si>
  <si>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</si>
  <si>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</si>
  <si>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</si>
  <si>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</si>
  <si>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</si>
  <si>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</si>
  <si>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</si>
  <si>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</si>
  <si>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</si>
  <si>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</si>
  <si>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</si>
  <si>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</si>
  <si>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</si>
  <si>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</si>
  <si>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</si>
  <si>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</si>
  <si>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</si>
  <si>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</si>
  <si>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</si>
  <si>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</si>
  <si>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</si>
  <si>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</si>
  <si>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</si>
  <si>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</si>
  <si>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</si>
  <si>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</si>
  <si>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</si>
  <si>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</si>
  <si>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</si>
  <si>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</si>
  <si>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</si>
  <si>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</si>
  <si>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</si>
  <si>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</si>
  <si>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</si>
  <si>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</si>
  <si>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</si>
  <si>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</si>
  <si>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</si>
  <si>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</si>
  <si>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</si>
  <si>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</si>
  <si>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</si>
  <si>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</si>
  <si>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</si>
  <si>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</si>
  <si>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</si>
  <si>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</si>
  <si>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</si>
  <si>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</si>
  <si>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</si>
  <si>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</si>
  <si>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</si>
  <si>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</si>
  <si>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</si>
  <si>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</si>
  <si>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</si>
  <si>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</si>
  <si>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</si>
  <si>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</si>
  <si>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</si>
  <si>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</si>
  <si>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</si>
  <si>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</si>
  <si>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</si>
  <si>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</si>
  <si>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</si>
  <si>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</si>
  <si>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</si>
  <si>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</si>
  <si>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</si>
  <si>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</si>
  <si>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</si>
  <si>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</si>
  <si>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</si>
  <si>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</si>
  <si>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</si>
  <si>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</si>
  <si>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</si>
  <si>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</si>
  <si>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</si>
  <si>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</si>
  <si>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</si>
  <si>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</si>
  <si>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</si>
  <si>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</si>
  <si>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</si>
  <si>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</si>
  <si>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</si>
  <si>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</si>
  <si>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</si>
  <si>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</si>
  <si>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</si>
  <si>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</si>
  <si>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</si>
  <si>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</si>
  <si>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</si>
  <si>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</si>
  <si>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</si>
  <si>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</si>
  <si>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</si>
  <si>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</si>
  <si>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</si>
  <si>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</si>
  <si>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</si>
  <si>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</si>
  <si>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</si>
  <si>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</si>
  <si>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</si>
  <si>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</si>
  <si>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</si>
  <si>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</si>
  <si>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</si>
  <si>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</si>
  <si>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</si>
  <si>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</si>
  <si>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</si>
  <si>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</si>
  <si>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</si>
  <si>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</si>
  <si>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</si>
  <si>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</si>
  <si>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</si>
  <si>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</si>
  <si>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</si>
  <si>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</si>
  <si>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</si>
  <si>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</si>
  <si>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</si>
  <si>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</si>
  <si>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</si>
  <si>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</si>
  <si>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</si>
  <si>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</si>
  <si>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</si>
  <si>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</si>
  <si>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</si>
  <si>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</si>
  <si>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</si>
  <si>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</si>
  <si>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</si>
  <si>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</si>
  <si>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</si>
  <si>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</si>
  <si>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</si>
  <si>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</si>
  <si>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</si>
  <si>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</si>
  <si>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</si>
  <si>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</si>
  <si>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</si>
  <si>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</si>
  <si>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</si>
  <si>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</si>
  <si>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</si>
  <si>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</si>
  <si>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</si>
  <si>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</si>
  <si>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</si>
  <si>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</si>
  <si>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</si>
  <si>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</si>
  <si>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</si>
  <si>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</si>
  <si>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</si>
  <si>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</si>
  <si>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</si>
  <si>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</si>
  <si>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</si>
  <si>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</si>
  <si>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</si>
  <si>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</si>
  <si>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</si>
  <si>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</si>
  <si>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</si>
  <si>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</si>
  <si>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</si>
  <si>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</si>
  <si>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</si>
  <si>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</si>
  <si>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</si>
  <si>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</si>
  <si>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</si>
  <si>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</si>
  <si>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</si>
  <si>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</si>
  <si>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</si>
  <si>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</si>
  <si>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</si>
  <si>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</si>
  <si>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</si>
  <si>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</si>
  <si>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</si>
  <si>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</si>
  <si>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</si>
  <si>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</si>
  <si>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</si>
  <si>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</si>
  <si>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</si>
  <si>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</si>
  <si>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</si>
  <si>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</si>
  <si>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</si>
  <si>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</si>
  <si>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</si>
  <si>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</si>
  <si>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</si>
  <si>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</si>
  <si>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</si>
  <si>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</si>
  <si>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</si>
  <si>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</si>
  <si>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</si>
  <si>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</si>
  <si>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</si>
  <si>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</si>
  <si>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</si>
  <si>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</si>
  <si>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</si>
  <si>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</si>
  <si>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</si>
  <si>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</si>
  <si>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</si>
  <si>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</si>
  <si>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</si>
  <si>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</si>
  <si>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</si>
  <si>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</si>
  <si>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</si>
  <si>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</si>
  <si>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</si>
  <si>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</si>
  <si>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</si>
  <si>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</si>
  <si>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</si>
  <si>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</si>
  <si>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</si>
  <si>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</si>
  <si>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</si>
  <si>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</si>
  <si>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</si>
  <si>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</si>
  <si>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</si>
  <si>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</si>
  <si>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</si>
  <si>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</si>
  <si>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</si>
  <si>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</si>
  <si>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</si>
  <si>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</si>
  <si>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</si>
  <si>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</si>
  <si>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</si>
  <si>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</si>
  <si>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</si>
  <si>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</si>
  <si>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</si>
  <si>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</si>
  <si>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</si>
  <si>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</si>
  <si>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</si>
  <si>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</si>
  <si>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</si>
  <si>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</si>
  <si>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</si>
  <si>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</si>
  <si>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</si>
  <si>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</si>
  <si>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</si>
  <si>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</si>
  <si>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</si>
  <si>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</si>
  <si>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</si>
  <si>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</si>
  <si>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</si>
  <si>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</si>
  <si>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</si>
  <si>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</si>
  <si>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</si>
  <si>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</si>
  <si>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</si>
  <si>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</si>
  <si>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</si>
  <si>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</si>
  <si>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</si>
  <si>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</si>
  <si>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</si>
  <si>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</si>
  <si>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</si>
  <si>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</si>
  <si>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</si>
  <si>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</si>
  <si>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</si>
  <si>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</si>
  <si>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</si>
  <si>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</si>
  <si>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</si>
  <si>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</si>
  <si>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</si>
  <si>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</si>
  <si>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</si>
  <si>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</si>
  <si>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</si>
  <si>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</si>
  <si>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</si>
  <si>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</si>
  <si>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</si>
  <si>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</si>
  <si>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</si>
  <si>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</si>
  <si>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</si>
  <si>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</si>
  <si>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</si>
  <si>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</si>
  <si>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</si>
  <si>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</si>
  <si>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</si>
  <si>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</si>
  <si>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</si>
  <si>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</si>
  <si>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</si>
  <si>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</si>
  <si>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</si>
  <si>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</si>
  <si>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</si>
  <si>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</si>
  <si>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</si>
  <si>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</si>
  <si>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</si>
  <si>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</si>
  <si>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</si>
  <si>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</si>
  <si>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</si>
  <si>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</si>
  <si>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</si>
  <si>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</si>
  <si>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</si>
  <si>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</si>
  <si>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</si>
  <si>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</si>
  <si>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</si>
  <si>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</si>
  <si>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</si>
  <si>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</si>
  <si>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</si>
  <si>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</si>
  <si>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</si>
  <si>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</si>
  <si>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</si>
  <si>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</si>
  <si>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</si>
  <si>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</si>
  <si>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</si>
  <si>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</si>
  <si>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</si>
  <si>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</si>
  <si>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</si>
  <si>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</si>
  <si>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</si>
  <si>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</si>
  <si>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</si>
  <si>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https://portal.eias.ru/Portal/DownloadPage.aspx?type=12&amp;guid=8b1972b8-82af-40b8-a62d-095516d1ae8f</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</si>
  <si>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</si>
  <si>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</si>
  <si>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</si>
  <si>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Сведения о правовых актах,регламентирующих правила закупки (положение о закупках) в регулируемой организации.</t>
  </si>
  <si>
    <t>https://portal.eias.ru/Portal/DownloadPage.aspx?type=12&amp;guid=f718df77-1e05-4411-964e-3f14c9bc3267</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</si>
  <si>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</si>
  <si>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Сведения о месте размещения положения о закупке регулируемой организации.</t>
  </si>
  <si>
    <t>zakupki.gov.ru</t>
  </si>
  <si>
    <t>Сведения о планируемых закупочных процедурах .</t>
  </si>
  <si>
    <t>https://portal.eias.ru/Portal/DownloadPage.aspx?type=12&amp;guid=e9c0d7e0-0bb1-4d86-b143-156f3215f55e</t>
  </si>
  <si>
    <t xml:space="preserve">Сведения о результатах проведения закупочных процедур. </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</si>
  <si>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</si>
  <si>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</si>
  <si>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</si>
  <si>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</si>
  <si>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</si>
  <si>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</si>
  <si>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</si>
  <si>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</si>
  <si>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</si>
  <si>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</si>
  <si>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</si>
  <si>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</si>
  <si>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</si>
  <si>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</si>
  <si>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</si>
  <si>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</si>
  <si>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</si>
  <si>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</si>
  <si>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</si>
  <si>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</si>
  <si>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</si>
  <si>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</si>
  <si>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</si>
  <si>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</si>
  <si>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</si>
  <si>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</si>
  <si>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</si>
  <si>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</si>
  <si>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</si>
  <si>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</si>
  <si>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</si>
  <si>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</si>
  <si>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</si>
  <si>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</si>
  <si>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</si>
  <si>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</si>
  <si>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</si>
  <si>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</si>
  <si>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</si>
  <si>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</si>
  <si>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</si>
  <si>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</si>
  <si>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</si>
  <si>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</si>
  <si>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</si>
  <si>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</si>
  <si>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</si>
  <si>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</si>
  <si>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</si>
  <si>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</si>
  <si>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</si>
  <si>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</si>
  <si>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</si>
  <si>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</si>
  <si>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</si>
  <si>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</si>
  <si>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</si>
  <si>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</si>
  <si>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</si>
  <si>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</si>
  <si>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</si>
  <si>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</si>
  <si>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</si>
  <si>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</si>
  <si>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</si>
  <si>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</si>
  <si>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</si>
  <si>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</si>
  <si>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</si>
  <si>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</si>
  <si>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</si>
  <si>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</si>
  <si>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</si>
  <si>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</si>
  <si>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</si>
  <si>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</si>
  <si>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</si>
  <si>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</si>
  <si>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</si>
  <si>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</si>
  <si>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</si>
  <si>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</si>
  <si>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</si>
  <si>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</si>
  <si>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</si>
  <si>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</si>
  <si>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</si>
  <si>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</si>
  <si>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</si>
  <si>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</si>
  <si>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</si>
  <si>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</si>
  <si>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</si>
  <si>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</si>
  <si>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</si>
  <si>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</si>
  <si>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</si>
  <si>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</si>
  <si>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</si>
  <si>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</si>
  <si>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</si>
  <si>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</si>
  <si>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</si>
  <si>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</si>
  <si>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</si>
  <si>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</si>
  <si>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</si>
  <si>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</si>
  <si>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</si>
  <si>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</si>
  <si>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</si>
  <si>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</si>
  <si>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</si>
  <si>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</si>
  <si>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</si>
  <si>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</si>
  <si>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</si>
  <si>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</si>
  <si>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</si>
  <si>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</si>
  <si>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</si>
  <si>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</si>
  <si>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</si>
  <si>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</si>
  <si>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</si>
  <si>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</si>
  <si>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</si>
  <si>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</si>
  <si>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</si>
  <si>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</si>
  <si>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</si>
  <si>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</si>
  <si>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</si>
  <si>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</si>
  <si>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</si>
  <si>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</si>
  <si>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</si>
  <si>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</si>
  <si>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</si>
  <si>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</si>
  <si>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</si>
  <si>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</si>
  <si>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</si>
  <si>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</si>
  <si>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</si>
  <si>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</si>
  <si>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</si>
  <si>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</si>
  <si>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</si>
  <si>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</si>
  <si>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</si>
  <si>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</si>
  <si>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</si>
  <si>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</si>
  <si>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</si>
  <si>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</si>
  <si>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</si>
  <si>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</si>
  <si>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</si>
  <si>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</si>
  <si>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</si>
  <si>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</si>
  <si>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</si>
  <si>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</si>
  <si>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</si>
  <si>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</si>
  <si>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</si>
  <si>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</si>
  <si>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</si>
  <si>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</si>
  <si>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</si>
  <si>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</si>
  <si>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</si>
  <si>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</si>
  <si>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</si>
  <si>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</si>
  <si>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</si>
  <si>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</si>
  <si>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</si>
  <si>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</si>
  <si>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</si>
  <si>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</si>
  <si>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</si>
  <si>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</si>
  <si>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</si>
  <si>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</si>
  <si>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</si>
  <si>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</si>
  <si>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</si>
  <si>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</si>
  <si>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</si>
  <si>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</si>
  <si>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</si>
  <si>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</si>
  <si>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</si>
  <si>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</si>
  <si>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</si>
  <si>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</si>
  <si>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</si>
  <si>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</si>
  <si>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</si>
  <si>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</si>
  <si>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</si>
  <si>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</si>
  <si>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</si>
  <si>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</si>
  <si>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</si>
  <si>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</si>
  <si>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</si>
  <si>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</si>
  <si>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</si>
  <si>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</si>
  <si>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</si>
  <si>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</si>
  <si>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</si>
  <si>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</si>
  <si>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</si>
  <si>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</si>
  <si>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</si>
  <si>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</si>
  <si>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</si>
  <si>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</si>
  <si>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</si>
  <si>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</si>
  <si>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</si>
  <si>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</si>
  <si>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</si>
  <si>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</si>
  <si>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</si>
  <si>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</si>
  <si>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</si>
  <si>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</si>
  <si>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</si>
  <si>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</si>
  <si>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</si>
  <si>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</si>
  <si>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</si>
  <si>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</si>
  <si>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</si>
  <si>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</si>
  <si>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</si>
  <si>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</si>
  <si>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</si>
  <si>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</si>
  <si>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</si>
  <si>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</si>
  <si>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</si>
  <si>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</si>
  <si>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</si>
  <si>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</si>
  <si>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</si>
  <si>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</si>
  <si>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</si>
  <si>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</si>
  <si>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</si>
  <si>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</si>
  <si>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</si>
  <si>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</si>
  <si>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</si>
  <si>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</si>
  <si>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</si>
  <si>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</si>
  <si>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</si>
  <si>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</si>
  <si>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</si>
  <si>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</si>
  <si>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</si>
  <si>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</si>
  <si>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</si>
  <si>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</si>
  <si>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</si>
  <si>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</si>
  <si>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</si>
  <si>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</si>
  <si>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</si>
  <si>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</si>
  <si>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</si>
  <si>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</si>
  <si>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</si>
  <si>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</si>
  <si>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</si>
  <si>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</si>
  <si>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</si>
  <si>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</si>
  <si>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</si>
  <si>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</si>
  <si>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</si>
  <si>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</si>
  <si>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</si>
  <si>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</si>
  <si>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</si>
  <si>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</si>
  <si>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</si>
  <si>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</si>
  <si>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</si>
  <si>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</si>
  <si>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</si>
  <si>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</si>
  <si>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</si>
  <si>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</si>
  <si>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</si>
  <si>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</si>
  <si>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</si>
  <si>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</si>
  <si>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</si>
  <si>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</si>
  <si>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</si>
  <si>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</si>
  <si>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</si>
  <si>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</si>
  <si>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</si>
  <si>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</si>
  <si>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</si>
  <si>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</si>
  <si>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</si>
  <si>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</si>
  <si>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</si>
  <si>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</si>
  <si>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</si>
  <si>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</si>
  <si>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</si>
  <si>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</si>
  <si>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</si>
  <si>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</si>
  <si>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</si>
  <si>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</si>
  <si>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</si>
  <si>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</si>
  <si>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</si>
  <si>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</si>
  <si>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</si>
  <si>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</si>
  <si>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</si>
  <si>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</si>
  <si>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</si>
  <si>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</si>
  <si>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</si>
  <si>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</si>
  <si>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</si>
  <si>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</si>
  <si>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</si>
  <si>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</si>
  <si>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</si>
  <si>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</si>
  <si>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</si>
  <si>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</si>
  <si>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</si>
  <si>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</si>
  <si>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</si>
  <si>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</si>
  <si>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</si>
  <si>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</si>
  <si>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</si>
  <si>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</si>
  <si>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</si>
  <si>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</si>
  <si>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</si>
  <si>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</si>
  <si>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</si>
  <si>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</si>
  <si>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</si>
  <si>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</si>
  <si>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</si>
  <si>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</si>
  <si>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</si>
  <si>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</si>
  <si>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</si>
  <si>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</si>
  <si>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</si>
  <si>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</si>
  <si>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</si>
  <si>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</si>
  <si>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</si>
  <si>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</si>
  <si>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</si>
  <si>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</si>
  <si>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</si>
  <si>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</si>
  <si>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</si>
  <si>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</si>
  <si>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</si>
  <si>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</si>
  <si>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</si>
  <si>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</si>
  <si>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</si>
  <si>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</si>
  <si>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</si>
  <si>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</si>
  <si>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</si>
  <si>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</si>
  <si>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</si>
  <si>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</si>
  <si>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</si>
  <si>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</si>
  <si>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</si>
  <si>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</si>
  <si>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</si>
  <si>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</si>
  <si>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</si>
  <si>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</si>
  <si>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</si>
  <si>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</si>
  <si>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</si>
  <si>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</si>
  <si>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</si>
  <si>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</si>
  <si>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</si>
  <si>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</si>
  <si>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</si>
  <si>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</si>
  <si>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</si>
  <si>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</si>
  <si>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</si>
  <si>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</si>
  <si>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</si>
  <si>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</si>
  <si>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</si>
  <si>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</si>
  <si>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</si>
  <si>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</si>
  <si>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</si>
  <si>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</si>
  <si>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</si>
  <si>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</si>
  <si>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</si>
  <si>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</si>
  <si>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</si>
  <si>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</si>
  <si>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</si>
  <si>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</si>
  <si>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</si>
  <si>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</si>
  <si>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</si>
  <si>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</si>
  <si>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</si>
  <si>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</si>
  <si>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</si>
  <si>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</si>
  <si>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</si>
  <si>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</si>
  <si>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</si>
  <si>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</si>
  <si>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</si>
  <si>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</si>
  <si>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</si>
  <si>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</si>
  <si>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</si>
  <si>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</si>
  <si>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</si>
  <si>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</si>
  <si>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</si>
  <si>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</si>
  <si>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</si>
  <si>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</si>
  <si>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</si>
  <si>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</si>
  <si>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</si>
  <si>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</si>
  <si>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</si>
  <si>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</si>
  <si>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</si>
  <si>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</si>
  <si>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</si>
  <si>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</si>
  <si>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</si>
  <si>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</si>
  <si>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</si>
  <si>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</si>
  <si>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</si>
  <si>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</si>
  <si>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</si>
  <si>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</si>
  <si>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</si>
  <si>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</si>
  <si>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</si>
  <si>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</si>
  <si>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</si>
  <si>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</si>
  <si>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</si>
  <si>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</si>
  <si>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</si>
  <si>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</si>
  <si>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</si>
  <si>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</si>
  <si>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</si>
  <si>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</si>
  <si>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</si>
  <si>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</si>
  <si>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</si>
  <si>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</si>
  <si>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</si>
  <si>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</si>
  <si>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</si>
  <si>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</si>
  <si>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</si>
  <si>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</si>
  <si>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</si>
  <si>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</si>
  <si>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</si>
  <si>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</si>
  <si>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</si>
  <si>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</si>
  <si>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</si>
  <si>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</si>
  <si>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</si>
  <si>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</si>
  <si>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</si>
  <si>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</si>
  <si>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</si>
  <si>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</si>
  <si>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</si>
  <si>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</si>
  <si>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</si>
  <si>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</si>
  <si>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</si>
  <si>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</si>
  <si>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</si>
  <si>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</si>
  <si>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</si>
  <si>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</si>
  <si>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</si>
  <si>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</si>
  <si>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</si>
  <si>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</si>
  <si>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</si>
  <si>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</si>
  <si>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</si>
  <si>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</si>
  <si>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</si>
  <si>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</si>
  <si>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</si>
  <si>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</si>
  <si>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</si>
  <si>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</si>
  <si>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</si>
  <si>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</si>
  <si>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</si>
  <si>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</si>
  <si>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</si>
  <si>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</si>
  <si>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</si>
  <si>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</si>
  <si>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</si>
  <si>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</si>
  <si>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</si>
  <si>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</si>
  <si>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</si>
  <si>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</si>
  <si>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</si>
  <si>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</si>
  <si>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</si>
  <si>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</si>
  <si>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</si>
  <si>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</si>
  <si>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</si>
  <si>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</si>
  <si>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</si>
  <si>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</si>
  <si>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</si>
  <si>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</si>
  <si>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</si>
  <si>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</si>
  <si>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</si>
  <si>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</si>
  <si>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</si>
  <si>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</si>
  <si>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</si>
  <si>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</si>
  <si>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</si>
  <si>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</si>
  <si>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</si>
  <si>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</si>
  <si>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</si>
  <si>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</si>
  <si>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</si>
  <si>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</si>
  <si>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</si>
  <si>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</si>
  <si>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</si>
  <si>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</si>
  <si>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</si>
  <si>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</si>
  <si>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</si>
  <si>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</si>
  <si>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</si>
  <si>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</si>
  <si>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</si>
  <si>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</si>
  <si>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</si>
  <si>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</si>
  <si>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</si>
  <si>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</si>
  <si>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</si>
  <si>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</si>
  <si>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</si>
  <si>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</si>
  <si>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</si>
  <si>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</si>
  <si>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</si>
  <si>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</si>
  <si>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</si>
  <si>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</si>
  <si>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</si>
  <si>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</si>
  <si>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</si>
  <si>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</si>
  <si>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</si>
  <si>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</si>
  <si>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</si>
  <si>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</si>
  <si>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</si>
  <si>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</si>
  <si>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</si>
  <si>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</si>
  <si>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</si>
  <si>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</si>
  <si>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</si>
  <si>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</si>
  <si>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</si>
  <si>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</si>
  <si>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</si>
  <si>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</si>
  <si>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</si>
  <si>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</si>
  <si>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</si>
  <si>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</si>
  <si>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</si>
  <si>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</si>
  <si>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</si>
  <si>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</si>
  <si>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</si>
  <si>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</si>
  <si>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</si>
  <si>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</si>
  <si>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</si>
  <si>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</si>
  <si>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</si>
  <si>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</si>
  <si>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</si>
  <si>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</si>
  <si>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</si>
  <si>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</si>
  <si>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</si>
  <si>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</si>
  <si>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</si>
  <si>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</si>
  <si>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</si>
  <si>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</si>
  <si>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</si>
  <si>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</si>
  <si>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</si>
  <si>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</si>
  <si>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</si>
  <si>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</si>
  <si>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</si>
  <si>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</si>
  <si>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</si>
  <si>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</si>
  <si>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</si>
  <si>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</si>
  <si>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</si>
  <si>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</si>
  <si>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</si>
  <si>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</si>
  <si>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</si>
  <si>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</si>
  <si>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</si>
  <si>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</si>
  <si>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</si>
  <si>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</si>
  <si>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</si>
  <si>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</si>
  <si>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</si>
  <si>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</si>
  <si>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</si>
  <si>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</si>
  <si>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</si>
  <si>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</si>
  <si>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</si>
  <si>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</si>
  <si>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</si>
  <si>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</si>
  <si>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</si>
  <si>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</si>
  <si>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</si>
  <si>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</si>
  <si>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</si>
  <si>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</si>
  <si>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</si>
  <si>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</si>
  <si>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</si>
  <si>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</si>
  <si>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</si>
  <si>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</si>
  <si>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</si>
  <si>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</si>
  <si>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</si>
  <si>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</si>
  <si>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</si>
  <si>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</si>
  <si>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</si>
  <si>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</si>
  <si>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</si>
  <si>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</si>
  <si>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</si>
  <si>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</si>
  <si>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</si>
  <si>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</si>
  <si>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</si>
  <si>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</si>
  <si>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</si>
  <si>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</si>
  <si>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</si>
  <si>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</si>
  <si>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</si>
  <si>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</si>
  <si>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</si>
  <si>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</si>
  <si>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</si>
  <si>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</si>
  <si>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</si>
  <si>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</si>
  <si>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</si>
  <si>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</si>
  <si>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</si>
  <si>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</si>
  <si>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</si>
  <si>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</si>
  <si>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</si>
  <si>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</si>
  <si>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</si>
  <si>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</si>
  <si>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</si>
  <si>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</si>
  <si>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</si>
  <si>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Постановление Комитета по тарифам и ценам Курской области от 23.11.2023№69 "О тарифах на тепловую энергию, горячую воду в открытой системе теплоснабжения(горячего водоснабжения) на 2024-2028годы.</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</si>
  <si>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</si>
  <si>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</si>
  <si>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</si>
  <si>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</si>
  <si>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</si>
  <si>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</si>
  <si>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</si>
  <si>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</si>
  <si>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</si>
  <si>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</si>
  <si>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</si>
  <si>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</si>
  <si>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</si>
  <si>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</si>
  <si>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</si>
  <si>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</si>
  <si>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</si>
  <si>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</si>
  <si>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</si>
  <si>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</si>
  <si>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</si>
  <si>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</si>
  <si>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</si>
  <si>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</si>
  <si>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</si>
  <si>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</si>
  <si>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</si>
  <si>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</si>
  <si>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</si>
  <si>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</si>
  <si>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</si>
  <si>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</si>
  <si>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</si>
  <si>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</si>
  <si>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</si>
  <si>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</si>
  <si>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</si>
  <si>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</si>
  <si>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</si>
  <si>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</si>
  <si>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</si>
  <si>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</si>
  <si>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</si>
  <si>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</si>
  <si>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</si>
  <si>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</si>
  <si>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</si>
  <si>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</si>
  <si>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</si>
  <si>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</si>
  <si>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</si>
  <si>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</si>
  <si>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</si>
  <si>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</si>
  <si>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</si>
  <si>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</si>
  <si>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</si>
  <si>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</si>
  <si>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</si>
  <si>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</si>
  <si>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</si>
  <si>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</si>
  <si>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</si>
  <si>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</si>
  <si>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</si>
  <si>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</si>
  <si>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</si>
  <si>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</si>
  <si>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</si>
  <si>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</si>
  <si>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</si>
  <si>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</si>
  <si>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</si>
  <si>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</si>
  <si>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</si>
  <si>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</si>
  <si>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</si>
  <si>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</si>
  <si>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</si>
  <si>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</si>
  <si>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</si>
  <si>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</si>
  <si>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</si>
  <si>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</si>
  <si>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</si>
  <si>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</si>
  <si>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</si>
  <si>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</si>
  <si>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</si>
  <si>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</si>
  <si>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</si>
  <si>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</si>
  <si>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</si>
  <si>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</si>
  <si>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</si>
  <si>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</si>
  <si>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</si>
  <si>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</si>
  <si>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</si>
  <si>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</si>
  <si>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</si>
  <si>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</si>
  <si>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</si>
  <si>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</si>
  <si>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</si>
  <si>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</si>
  <si>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</si>
  <si>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</si>
  <si>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</si>
  <si>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</si>
  <si>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</si>
  <si>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</si>
  <si>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</si>
  <si>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</si>
  <si>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</si>
  <si>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</si>
  <si>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</si>
  <si>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</si>
  <si>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</si>
  <si>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</si>
  <si>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</si>
  <si>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</si>
  <si>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</si>
  <si>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</si>
  <si>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</si>
  <si>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</si>
  <si>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</si>
  <si>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</si>
  <si>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</si>
  <si>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</si>
  <si>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</si>
  <si>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</si>
  <si>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</si>
  <si>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</si>
  <si>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</si>
  <si>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</si>
  <si>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</si>
  <si>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</si>
  <si>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</si>
  <si>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</si>
  <si>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</si>
  <si>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</si>
  <si>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</si>
  <si>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</si>
  <si>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</si>
  <si>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</si>
  <si>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</si>
  <si>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</si>
  <si>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</si>
  <si>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</si>
  <si>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</si>
  <si>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</si>
  <si>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</si>
  <si>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</si>
  <si>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</si>
  <si>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</si>
  <si>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</si>
  <si>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</si>
  <si>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</si>
  <si>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</si>
  <si>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</si>
  <si>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</si>
  <si>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</si>
  <si>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</si>
  <si>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</si>
  <si>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</si>
  <si>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</si>
  <si>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</si>
  <si>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</si>
  <si>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</si>
  <si>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</si>
  <si>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</si>
  <si>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</si>
  <si>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</si>
  <si>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</si>
  <si>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</si>
  <si>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</si>
  <si>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</si>
  <si>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</si>
  <si>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</si>
  <si>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</si>
  <si>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</si>
  <si>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</si>
  <si>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</si>
  <si>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</si>
  <si>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</si>
  <si>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</si>
  <si>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</si>
  <si>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</si>
  <si>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</si>
  <si>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</si>
  <si>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</si>
  <si>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</si>
  <si>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</si>
  <si>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</si>
  <si>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</si>
  <si>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</si>
  <si>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</si>
  <si>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</si>
  <si>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</si>
  <si>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</si>
  <si>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</si>
  <si>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</si>
  <si>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</si>
  <si>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</si>
  <si>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</si>
  <si>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</si>
  <si>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</si>
  <si>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</si>
  <si>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</si>
  <si>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</si>
  <si>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</si>
  <si>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</si>
  <si>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</si>
  <si>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</si>
  <si>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</si>
  <si>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</si>
  <si>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</si>
  <si>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</si>
  <si>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</si>
  <si>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</si>
  <si>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</si>
  <si>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</si>
  <si>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</si>
  <si>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</si>
  <si>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</si>
  <si>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</si>
  <si>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</si>
  <si>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</si>
  <si>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</si>
  <si>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</si>
  <si>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</si>
  <si>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</si>
  <si>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</si>
  <si>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</si>
  <si>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</si>
  <si>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</si>
  <si>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</si>
  <si>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</si>
  <si>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</si>
  <si>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</si>
  <si>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</si>
  <si>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</si>
  <si>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</si>
  <si>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</si>
  <si>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</si>
  <si>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</si>
  <si>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</si>
  <si>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</si>
  <si>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</si>
  <si>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</si>
  <si>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</si>
  <si>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</si>
  <si>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</si>
  <si>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</si>
  <si>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</si>
  <si>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</si>
  <si>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</si>
  <si>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</si>
  <si>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</si>
  <si>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</si>
  <si>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</si>
  <si>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</si>
  <si>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</si>
  <si>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</si>
  <si>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</si>
  <si>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</si>
  <si>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</si>
  <si>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</si>
  <si>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</si>
  <si>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</si>
  <si>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</si>
  <si>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</si>
  <si>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</si>
  <si>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</si>
  <si>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</si>
  <si>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</si>
  <si>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</si>
  <si>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</si>
  <si>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</si>
  <si>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</si>
  <si>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</si>
  <si>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</si>
  <si>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</si>
  <si>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</si>
  <si>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</si>
  <si>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</si>
  <si>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</si>
  <si>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</si>
  <si>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</si>
  <si>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</si>
  <si>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</si>
  <si>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</si>
  <si>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</si>
  <si>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</si>
  <si>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</si>
  <si>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</si>
  <si>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</si>
  <si>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</si>
  <si>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</si>
  <si>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</si>
  <si>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</si>
  <si>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</si>
  <si>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</si>
  <si>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</si>
  <si>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</si>
  <si>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</si>
  <si>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</si>
  <si>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</si>
  <si>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</si>
  <si>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</si>
  <si>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</si>
  <si>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</si>
  <si>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</si>
  <si>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</si>
  <si>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</si>
  <si>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</si>
  <si>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</si>
  <si>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</si>
  <si>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</si>
  <si>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</si>
  <si>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</si>
  <si>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</si>
  <si>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</si>
  <si>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</si>
  <si>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</si>
  <si>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</si>
  <si>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</si>
  <si>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</si>
  <si>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</si>
  <si>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</si>
  <si>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</si>
  <si>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</si>
  <si>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</si>
  <si>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</si>
  <si>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</si>
  <si>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</si>
  <si>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</si>
  <si>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</si>
  <si>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</si>
  <si>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</si>
  <si>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</si>
  <si>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</si>
  <si>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</si>
  <si>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</si>
  <si>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</si>
  <si>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</si>
  <si>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</si>
  <si>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</si>
  <si>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</si>
  <si>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2594</t>
  </si>
  <si>
    <t>31526383</t>
  </si>
  <si>
    <t>"Теткинское МУП ЖКХ"</t>
  </si>
  <si>
    <t>4603009064</t>
  </si>
  <si>
    <t>460301001</t>
  </si>
  <si>
    <t>31457162</t>
  </si>
  <si>
    <t>АО "ГАЗСПЕЦРЕСУРС"</t>
  </si>
  <si>
    <t>4611016308</t>
  </si>
  <si>
    <t>461101001</t>
  </si>
  <si>
    <t>17-11-2020 00:00:00</t>
  </si>
  <si>
    <t>30876295</t>
  </si>
  <si>
    <t>АО "ККХП"</t>
  </si>
  <si>
    <t>4630001280</t>
  </si>
  <si>
    <t>463201001</t>
  </si>
  <si>
    <t>12-01-2017 00:00:00</t>
  </si>
  <si>
    <t>26526453</t>
  </si>
  <si>
    <t>АО "Квадра" (АО "Квадра" - "Белгородская генерация")</t>
  </si>
  <si>
    <t>6829012680</t>
  </si>
  <si>
    <t>312343001</t>
  </si>
  <si>
    <t>26519767</t>
  </si>
  <si>
    <t>АО "Квадра" (филиал "Курская генерация")</t>
  </si>
  <si>
    <t>463243001</t>
  </si>
  <si>
    <t>26506537</t>
  </si>
  <si>
    <t>АО "Концерн Росэнергоатом" (филиал "Курская атомная станция")</t>
  </si>
  <si>
    <t>7721632827</t>
  </si>
  <si>
    <t>463443001</t>
  </si>
  <si>
    <t>31226876</t>
  </si>
  <si>
    <t>АО "Курская строительная компания "Новый курс"</t>
  </si>
  <si>
    <t>4629043694</t>
  </si>
  <si>
    <t>02-08-2018 00:00:00</t>
  </si>
  <si>
    <t>31412878</t>
  </si>
  <si>
    <t>АО "Михайловский ГОК  им. А.В. Варичева"</t>
  </si>
  <si>
    <t>4633001577</t>
  </si>
  <si>
    <t>997550001</t>
  </si>
  <si>
    <t>20-03-2020 00:00:00</t>
  </si>
  <si>
    <t>26838066</t>
  </si>
  <si>
    <t>АО "РЭУ"</t>
  </si>
  <si>
    <t>7714783092</t>
  </si>
  <si>
    <t>770401001</t>
  </si>
  <si>
    <t>26357430</t>
  </si>
  <si>
    <t>АО "Сахарный комбинат Льговский"</t>
  </si>
  <si>
    <t>4613005502</t>
  </si>
  <si>
    <t>461301001</t>
  </si>
  <si>
    <t>28160056</t>
  </si>
  <si>
    <t>АО "ТЭСК"</t>
  </si>
  <si>
    <t>4632121159</t>
  </si>
  <si>
    <t>31424123</t>
  </si>
  <si>
    <t>АО "ЭЛЕКТРОАГРЕГАТ"</t>
  </si>
  <si>
    <t>4631005223</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</si>
  <si>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</si>
  <si>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</si>
  <si>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</si>
  <si>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</si>
  <si>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26520355</t>
  </si>
  <si>
    <t>Брянский территориальный участок Московской дирекции по тепловодоснабжению – структурного подразделения Центральной дирекции по тепловодоснабжению – филиала ОАО «РЖД»</t>
  </si>
  <si>
    <t>463201002</t>
  </si>
  <si>
    <t>26373212</t>
  </si>
  <si>
    <t>ГУПКО "Курскоблжилкомхоз"</t>
  </si>
  <si>
    <t>4632024035</t>
  </si>
  <si>
    <t>31651696</t>
  </si>
  <si>
    <t>ИП Рустем Мансур Исмаилович</t>
  </si>
  <si>
    <t>461109152080</t>
  </si>
  <si>
    <t>30941921</t>
  </si>
  <si>
    <t>Курский завод "Маяк" - филиал АО "Нижегородское научно-производственное объединение имени М.В.Фрунзе"</t>
  </si>
  <si>
    <t>5261077695</t>
  </si>
  <si>
    <t>12-07-2017 00:00:00</t>
  </si>
  <si>
    <t>МИНИСТЕРСТВО ПО ТАРИФАМ И ЦЕНАМ КУРСКОЙ ОБЛАСТИ</t>
  </si>
  <si>
    <t>4632053780</t>
  </si>
  <si>
    <t>30843089</t>
  </si>
  <si>
    <t>МКУ "Управление обеспечения деятельности органов местного самоуправления"</t>
  </si>
  <si>
    <t>4622005001</t>
  </si>
  <si>
    <t>462201001</t>
  </si>
  <si>
    <t>01-10-2016 00:00:00</t>
  </si>
  <si>
    <t>31699224</t>
  </si>
  <si>
    <t>МКУ «ОДА поселка Кшенский»</t>
  </si>
  <si>
    <t>4621009155</t>
  </si>
  <si>
    <t>462101001</t>
  </si>
  <si>
    <t>01-02-2023 00:00:00</t>
  </si>
  <si>
    <t>31334806</t>
  </si>
  <si>
    <t>МУП "Глушковское ЖКХ"</t>
  </si>
  <si>
    <t>4603004186</t>
  </si>
  <si>
    <t>31-07-2019 00:00:00</t>
  </si>
  <si>
    <t>26357452</t>
  </si>
  <si>
    <t>МУП "Гортеплосеть"</t>
  </si>
  <si>
    <t>4632000330</t>
  </si>
  <si>
    <t>26357458</t>
  </si>
  <si>
    <t>МУП "Гортеплосеть" города Железногорска</t>
  </si>
  <si>
    <t>4633002394</t>
  </si>
  <si>
    <t>463301001</t>
  </si>
  <si>
    <t>26373218</t>
  </si>
  <si>
    <t>МУП "Иванинское ЖКХ"</t>
  </si>
  <si>
    <t>4634008455</t>
  </si>
  <si>
    <t>28829517</t>
  </si>
  <si>
    <t>МУП "Кшенское" поселка Кшенский</t>
  </si>
  <si>
    <t>4621009099</t>
  </si>
  <si>
    <t>28967472</t>
  </si>
  <si>
    <t>МУП "Районное коммунальное хозяйство"</t>
  </si>
  <si>
    <t>4633037132</t>
  </si>
  <si>
    <t>31625749</t>
  </si>
  <si>
    <t>МУП "Теплосервис"</t>
  </si>
  <si>
    <t>4626006422</t>
  </si>
  <si>
    <t>462601001</t>
  </si>
  <si>
    <t>01-08-2022 00:00:00</t>
  </si>
  <si>
    <t>31461777</t>
  </si>
  <si>
    <t>МУП "Теплосеть"</t>
  </si>
  <si>
    <t>4610006900</t>
  </si>
  <si>
    <t>461001001</t>
  </si>
  <si>
    <t>15-05-2008 00:00:00</t>
  </si>
  <si>
    <t>31521250</t>
  </si>
  <si>
    <t>МУП "Хомутовское ЖКХ"</t>
  </si>
  <si>
    <t>4626006380</t>
  </si>
  <si>
    <t>19-10-2021 00:00:00</t>
  </si>
  <si>
    <t>28975327</t>
  </si>
  <si>
    <t>МУП ЖКХ "Родник"</t>
  </si>
  <si>
    <t>4611013586</t>
  </si>
  <si>
    <t>26357443</t>
  </si>
  <si>
    <t>МУП КЭТС г.Суджа</t>
  </si>
  <si>
    <t>4623002116</t>
  </si>
  <si>
    <t>462301001</t>
  </si>
  <si>
    <t>26357449</t>
  </si>
  <si>
    <t>ОАО "Геомаш" города Щигры</t>
  </si>
  <si>
    <t>4628000962</t>
  </si>
  <si>
    <t>462801001</t>
  </si>
  <si>
    <t>26319324</t>
  </si>
  <si>
    <t>ОАО "Курскрезинотехника"</t>
  </si>
  <si>
    <t>4632001454</t>
  </si>
  <si>
    <t>463250001</t>
  </si>
  <si>
    <t>26597746</t>
  </si>
  <si>
    <t>ОАО "Технотекс"</t>
  </si>
  <si>
    <t>4631000955</t>
  </si>
  <si>
    <t>28153332</t>
  </si>
  <si>
    <t>ОАО "Электроагрегат"</t>
  </si>
  <si>
    <t>28008001</t>
  </si>
  <si>
    <t>ООО  "Афродита"</t>
  </si>
  <si>
    <t>4633023436</t>
  </si>
  <si>
    <t>30958906</t>
  </si>
  <si>
    <t>ООО "АГРУПП"</t>
  </si>
  <si>
    <t>4603001234</t>
  </si>
  <si>
    <t>31206294</t>
  </si>
  <si>
    <t>ООО "Агропроект"</t>
  </si>
  <si>
    <t>3666120176</t>
  </si>
  <si>
    <t>366601001</t>
  </si>
  <si>
    <t>10-10-2018 00:00:00</t>
  </si>
  <si>
    <t>31157877</t>
  </si>
  <si>
    <t>ООО "ВодоСервис"</t>
  </si>
  <si>
    <t>4633039637</t>
  </si>
  <si>
    <t>463330100</t>
  </si>
  <si>
    <t>26357459</t>
  </si>
  <si>
    <t>ООО "ГОТЭК-ЦПУ"</t>
  </si>
  <si>
    <t>4633016372</t>
  </si>
  <si>
    <t>26599373</t>
  </si>
  <si>
    <t>ООО "ЖКХ с. Мантурово"</t>
  </si>
  <si>
    <t>4614004050</t>
  </si>
  <si>
    <t>461401001</t>
  </si>
  <si>
    <t>28080260</t>
  </si>
  <si>
    <t>ООО "Железногорская МСО"</t>
  </si>
  <si>
    <t>4633011913</t>
  </si>
  <si>
    <t>30918958</t>
  </si>
  <si>
    <t>ООО "Жилсервис ЗЖБИ-3"</t>
  </si>
  <si>
    <t>4633039010</t>
  </si>
  <si>
    <t>05-04-2017 00:00:00</t>
  </si>
  <si>
    <t>27159575</t>
  </si>
  <si>
    <t>ООО "Коммунальная служба + " С. Михайловка</t>
  </si>
  <si>
    <t>4633033219</t>
  </si>
  <si>
    <t>26357432</t>
  </si>
  <si>
    <t>ООО "Коммунальщик" п. Прямицино</t>
  </si>
  <si>
    <t>4617004147</t>
  </si>
  <si>
    <t>461701001</t>
  </si>
  <si>
    <t>27549510</t>
  </si>
  <si>
    <t>ООО "Комфорт" г. Железногорск</t>
  </si>
  <si>
    <t>4633022993</t>
  </si>
  <si>
    <t>31477115</t>
  </si>
  <si>
    <t>ООО "Круиз - М"</t>
  </si>
  <si>
    <t>5034043900</t>
  </si>
  <si>
    <t>503401001</t>
  </si>
  <si>
    <t>17-04-2012 00:00:00</t>
  </si>
  <si>
    <t>26357454</t>
  </si>
  <si>
    <t>ООО "Курские Внешние Коммунальные сети"</t>
  </si>
  <si>
    <t>4632033706</t>
  </si>
  <si>
    <t>30852158</t>
  </si>
  <si>
    <t>ООО "Курскоблтеплосеть"</t>
  </si>
  <si>
    <t>4632185184</t>
  </si>
  <si>
    <t>26519453</t>
  </si>
  <si>
    <t>ООО "Обоянские Коммунальные Тепловые Сети"</t>
  </si>
  <si>
    <t>4616008283</t>
  </si>
  <si>
    <t>461601001</t>
  </si>
  <si>
    <t>31209848</t>
  </si>
  <si>
    <t>ООО "ПРОМ-ЭНЕРГО-СЕРВИС"</t>
  </si>
  <si>
    <t>4620014875</t>
  </si>
  <si>
    <t>462001001</t>
  </si>
  <si>
    <t>23-10-2018 00:00:00</t>
  </si>
  <si>
    <t>31326254</t>
  </si>
  <si>
    <t>ООО "СБМ"</t>
  </si>
  <si>
    <t>4632113278</t>
  </si>
  <si>
    <t>26-10-2009 00:00:00</t>
  </si>
  <si>
    <t>28262863</t>
  </si>
  <si>
    <t>ООО "Санаторий "Моква"</t>
  </si>
  <si>
    <t>4611004126</t>
  </si>
  <si>
    <t>31713408</t>
  </si>
  <si>
    <t>ООО "Санаторий имени И.Д.Черняховского"</t>
  </si>
  <si>
    <t>4611003813</t>
  </si>
  <si>
    <t>18-10-2007 00:00:00</t>
  </si>
  <si>
    <t>26357417</t>
  </si>
  <si>
    <t>ООО "Свободинский электромеханический завод"</t>
  </si>
  <si>
    <t>4607000231</t>
  </si>
  <si>
    <t>460701001</t>
  </si>
  <si>
    <t>26373203</t>
  </si>
  <si>
    <t>ООО "Солнцевское ЖКХ"</t>
  </si>
  <si>
    <t>4622004495</t>
  </si>
  <si>
    <t>26357456</t>
  </si>
  <si>
    <t>ООО "Теплогенерирующая компания"</t>
  </si>
  <si>
    <t>4632068226</t>
  </si>
  <si>
    <t>26806402</t>
  </si>
  <si>
    <t>ООО "Теткинское МУП ЖКХ"</t>
  </si>
  <si>
    <t>4603005599</t>
  </si>
  <si>
    <t>26373188</t>
  </si>
  <si>
    <t>ООО "УниверсалСтройСервис"</t>
  </si>
  <si>
    <t>4619004209</t>
  </si>
  <si>
    <t>461901001</t>
  </si>
  <si>
    <t>26357444</t>
  </si>
  <si>
    <t>ООО "Фатежские КЭТС"</t>
  </si>
  <si>
    <t>4625004944</t>
  </si>
  <si>
    <t>462501001</t>
  </si>
  <si>
    <t>28037290</t>
  </si>
  <si>
    <t>ООО "ЭКАС-строймонтаж"</t>
  </si>
  <si>
    <t>4632064101</t>
  </si>
  <si>
    <t>26319322</t>
  </si>
  <si>
    <t>ООО "Энерго-Сервис"</t>
  </si>
  <si>
    <t>4632032678</t>
  </si>
  <si>
    <t>30833091</t>
  </si>
  <si>
    <t>ООО "Энергосервисная компания ЖБК-1"</t>
  </si>
  <si>
    <t>3123389689</t>
  </si>
  <si>
    <t>312301001</t>
  </si>
  <si>
    <t>26520836</t>
  </si>
  <si>
    <t>ООО «НИАГАРА+»</t>
  </si>
  <si>
    <t>4607005286</t>
  </si>
  <si>
    <t>26520846</t>
  </si>
  <si>
    <t>ООО «Стройсантехналадка»</t>
  </si>
  <si>
    <t>4632064013</t>
  </si>
  <si>
    <t>27549574</t>
  </si>
  <si>
    <t>ООО Управляющая компания "Айсберг +"</t>
  </si>
  <si>
    <t>4608005722</t>
  </si>
  <si>
    <t>460801001</t>
  </si>
  <si>
    <t>26357433</t>
  </si>
  <si>
    <t>ООО"Теплосети п.Поныри"</t>
  </si>
  <si>
    <t>4618003724</t>
  </si>
  <si>
    <t>461801001</t>
  </si>
  <si>
    <t>30366049</t>
  </si>
  <si>
    <t>ОП "Воронежское" АО "ГУ ЖКХ"</t>
  </si>
  <si>
    <t>5116000922</t>
  </si>
  <si>
    <t>366445001</t>
  </si>
  <si>
    <t>21-10-2015 00:00:00</t>
  </si>
  <si>
    <t>28084551</t>
  </si>
  <si>
    <t>ПАО "Квадра" (филиал "Южная генерация")</t>
  </si>
  <si>
    <t>463201000</t>
  </si>
  <si>
    <t>26357457</t>
  </si>
  <si>
    <t>ПАО "Михайловский ГОК"</t>
  </si>
  <si>
    <t>26519455</t>
  </si>
  <si>
    <t>Рыльский авиационный технический колледж - филиал ФГОУВПО "Московский государственный технический университет гражданской авиации "</t>
  </si>
  <si>
    <t>7712029250</t>
  </si>
  <si>
    <t>26373189</t>
  </si>
  <si>
    <t>ФГБУ "Санаторий Марьино"</t>
  </si>
  <si>
    <t>4620001192</t>
  </si>
  <si>
    <t>31044258</t>
  </si>
  <si>
    <t>Филиал ОАО "РЖД" Юго-Восточная железная дорога, Юго-Восточная дирекция по эксплуатации зданий и сооружений ЕЛЕЦКАЯ ДИСТАЦИЯ ГРАЖДАНСКИХ СООРУЖЕНИЙ</t>
  </si>
  <si>
    <t>481245040</t>
  </si>
  <si>
    <t>27135237</t>
  </si>
  <si>
    <t>Филиал ОАО "РЭУ" "Курский"</t>
  </si>
  <si>
    <t>30941480</t>
  </si>
  <si>
    <t>Филиал ФГБУ "ЦЖКУ" Минобороны России (по МВО)</t>
  </si>
  <si>
    <t>7729314745</t>
  </si>
  <si>
    <t>503243002</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</si>
  <si>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</si>
  <si>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</si>
  <si>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</si>
  <si>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</si>
  <si>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31386954</t>
  </si>
  <si>
    <t>АДМИНИСТРАЦИЯ БЕРЕЗНИКОВСКОГО СЕЛЬСОВЕТА РЫЛЬСКОГО РАЙОНА</t>
  </si>
  <si>
    <t>4620001121</t>
  </si>
  <si>
    <t>31388059</t>
  </si>
  <si>
    <t>АДМИНИСТРАЦИЯ ПОСЕЛКА ПРИСТЕНЬ ПРИСТЕНСКОГО РАЙОНА КУРСКОЙ ОБЛАСТИ</t>
  </si>
  <si>
    <t>4619000860</t>
  </si>
  <si>
    <t>26546500</t>
  </si>
  <si>
    <t>АНО "Водоснабжение Бычковского сельсовета"</t>
  </si>
  <si>
    <t>4608005874</t>
  </si>
  <si>
    <t>26373185</t>
  </si>
  <si>
    <t>АНО "Водоснабжение Зоринского сельсовета"</t>
  </si>
  <si>
    <t>4616007201</t>
  </si>
  <si>
    <t>461601005</t>
  </si>
  <si>
    <t>30838874</t>
  </si>
  <si>
    <t>АНО "Водоснабжение с. 2-е Выгорное"</t>
  </si>
  <si>
    <t>4624902335</t>
  </si>
  <si>
    <t>462401001</t>
  </si>
  <si>
    <t>27784441</t>
  </si>
  <si>
    <t>АНО "Водоснабжение с. Марица"</t>
  </si>
  <si>
    <t>4613996035</t>
  </si>
  <si>
    <t>04-05-2012 00:00:00</t>
  </si>
  <si>
    <t>31603544</t>
  </si>
  <si>
    <t>АНО по обеспечению водой "АКВА"</t>
  </si>
  <si>
    <t>4632284347</t>
  </si>
  <si>
    <t>27-08-2021 00:00:00</t>
  </si>
  <si>
    <t>28068074</t>
  </si>
  <si>
    <t>АО "Курскоблводоканал"</t>
  </si>
  <si>
    <t>4632165780</t>
  </si>
  <si>
    <t>26598017</t>
  </si>
  <si>
    <t>АО "Суджанский маслодельный комбинат"</t>
  </si>
  <si>
    <t>4623000045</t>
  </si>
  <si>
    <t>31520452</t>
  </si>
  <si>
    <t>Администрация  Андросовского сельсовета</t>
  </si>
  <si>
    <t>4606001000</t>
  </si>
  <si>
    <t>31416151</t>
  </si>
  <si>
    <t>Администрация 1-го Поныровского сельсовета Поныровского района</t>
  </si>
  <si>
    <t>4618001043</t>
  </si>
  <si>
    <t>31088695</t>
  </si>
  <si>
    <t>Администрация Дмитриевского сельсовета Золотухинского района Курской области</t>
  </si>
  <si>
    <t>4607000418</t>
  </si>
  <si>
    <t>31088641</t>
  </si>
  <si>
    <t>Администрация Званновского сельсовета Глушковского района Курской области</t>
  </si>
  <si>
    <t>4603000488</t>
  </si>
  <si>
    <t>31088657</t>
  </si>
  <si>
    <t>Администрация Карыжского сельсовета Глушковского района Курской области</t>
  </si>
  <si>
    <t>4603000696</t>
  </si>
  <si>
    <t>31088670</t>
  </si>
  <si>
    <t>Администрация Коровяковского сельсовета Глушковского района Курской области</t>
  </si>
  <si>
    <t>4603000632</t>
  </si>
  <si>
    <t>31258569</t>
  </si>
  <si>
    <t>Администрация Мантуровского района Курской области</t>
  </si>
  <si>
    <t>4614003378</t>
  </si>
  <si>
    <t>31088676</t>
  </si>
  <si>
    <t>Администрация Марковского сельсовета Глушковского района Курской области</t>
  </si>
  <si>
    <t>4603000505</t>
  </si>
  <si>
    <t>31256167</t>
  </si>
  <si>
    <t>Администрация Махновского сельсовета Суджанского района Курской области</t>
  </si>
  <si>
    <t>4623001514</t>
  </si>
  <si>
    <t>01-01-2019 00:00:00</t>
  </si>
  <si>
    <t>31088683</t>
  </si>
  <si>
    <t>Администрация Нижнемордокского сельсовета Глушковского района Курской области</t>
  </si>
  <si>
    <t>4603000590</t>
  </si>
  <si>
    <t>31088715</t>
  </si>
  <si>
    <t>Администрация Первоавгустовского сельсовета Дмитриевского района Курской области</t>
  </si>
  <si>
    <t>4605001889</t>
  </si>
  <si>
    <t>460501001</t>
  </si>
  <si>
    <t>31088707</t>
  </si>
  <si>
    <t>Администрация Пригородненского сельсовета Щигровского района Куркой области</t>
  </si>
  <si>
    <t>4628001003</t>
  </si>
  <si>
    <t>31257845</t>
  </si>
  <si>
    <t>Администрация Суджанского района</t>
  </si>
  <si>
    <t>4623002853</t>
  </si>
  <si>
    <t>01-12-2018 00:00:00</t>
  </si>
  <si>
    <t>31088689</t>
  </si>
  <si>
    <t>Администрация Сухиновского сельсовета Глушковского района Курской области</t>
  </si>
  <si>
    <t>4603000569</t>
  </si>
  <si>
    <t>30910110</t>
  </si>
  <si>
    <t>Администрация п. Кировский Пристенского района Курской области</t>
  </si>
  <si>
    <t>4619000525</t>
  </si>
  <si>
    <t>31659460</t>
  </si>
  <si>
    <t>Администрация п. Новокасторное Касторенского района Курской области</t>
  </si>
  <si>
    <t>4608000548</t>
  </si>
  <si>
    <t>02-09-2002 00:00:00</t>
  </si>
  <si>
    <t>31281144</t>
  </si>
  <si>
    <t>МАУ "Марьинское ЖКХ"</t>
  </si>
  <si>
    <t>4620014226</t>
  </si>
  <si>
    <t>26373194</t>
  </si>
  <si>
    <t>МАУ"Служба заказчика по ЖКУ Октябрьского сельсовета"</t>
  </si>
  <si>
    <t>4620006730</t>
  </si>
  <si>
    <t>28254492</t>
  </si>
  <si>
    <t>МБУ "ОХО" поселка Медвенка</t>
  </si>
  <si>
    <t>4615007054</t>
  </si>
  <si>
    <t>461501001</t>
  </si>
  <si>
    <t>31737786</t>
  </si>
  <si>
    <t>МКУ "По обеспечению деятельности Администрации Тимского района Курской области"</t>
  </si>
  <si>
    <t>4624007967</t>
  </si>
  <si>
    <t>31738249</t>
  </si>
  <si>
    <t>МКУ "Управление ОДОМС " Поселка Солнцево</t>
  </si>
  <si>
    <t>4622001409</t>
  </si>
  <si>
    <t>14-06-2013 00:00:00</t>
  </si>
  <si>
    <t>27784674</t>
  </si>
  <si>
    <t>МП "Водоканал"</t>
  </si>
  <si>
    <t>4605006372</t>
  </si>
  <si>
    <t>05-05-2012 00:00:00</t>
  </si>
  <si>
    <t>28068342</t>
  </si>
  <si>
    <t>МУ "Служба заказчика по ЖКУ Городенского сельсовета"</t>
  </si>
  <si>
    <t>4613011175</t>
  </si>
  <si>
    <t>31411333</t>
  </si>
  <si>
    <t>МУНИЦИПАЛЬНОЕ КАЗЕННОЕ ПРЕДПРИЯТИЕ "РЫЛЬСКИЕ КОММУНАЛЬНЫЕ СЕТИ" МУНИЦИПАЛЬНОГО ОБРАЗОВАНИЯ "ГОРОД РЫЛЬСК" РЫЛЬСКОГО РАЙОНА КУРСКОЙ ОБЛАСТИ</t>
  </si>
  <si>
    <t>4620014931</t>
  </si>
  <si>
    <t>26373204</t>
  </si>
  <si>
    <t>МУП  "Водопроводного и жилищного-коммунального хозяйства" село Замостье при М.О."Замостянский сельсовет"</t>
  </si>
  <si>
    <t>4623005710</t>
  </si>
  <si>
    <t>26373209</t>
  </si>
  <si>
    <t>МУП "Водоканал-сервис"</t>
  </si>
  <si>
    <t>4627002389</t>
  </si>
  <si>
    <t>462701001</t>
  </si>
  <si>
    <t>26380385</t>
  </si>
  <si>
    <t>МУП "Горводоканал"</t>
  </si>
  <si>
    <t>4633002429</t>
  </si>
  <si>
    <t>31538877</t>
  </si>
  <si>
    <t>МУП "ЖКХ Глушковского района"</t>
  </si>
  <si>
    <t>4603009057</t>
  </si>
  <si>
    <t>31256178</t>
  </si>
  <si>
    <t>МУП "ЖКХ п. Олымский"</t>
  </si>
  <si>
    <t>4608006564</t>
  </si>
  <si>
    <t>05-08-2018 00:00:00</t>
  </si>
  <si>
    <t>28068061</t>
  </si>
  <si>
    <t>МУП "Жилкомсерис п. Поныри"</t>
  </si>
  <si>
    <t>4618003594</t>
  </si>
  <si>
    <t>10-02-2006 00:00:00</t>
  </si>
  <si>
    <t>28940776</t>
  </si>
  <si>
    <t>МУП "Калиновское ЖКХ" Администрации Хомутовского района Курской области</t>
  </si>
  <si>
    <t>4626003774</t>
  </si>
  <si>
    <t>31590534</t>
  </si>
  <si>
    <t>МУП "Коммунальные сети"  Рыльского района</t>
  </si>
  <si>
    <t>4620015050</t>
  </si>
  <si>
    <t>25-02-2022 00:00:00</t>
  </si>
  <si>
    <t>31423981</t>
  </si>
  <si>
    <t>МУП "Комфорт" Курчатовского района</t>
  </si>
  <si>
    <t>4634013399</t>
  </si>
  <si>
    <t>20-01-2020 00:00:00</t>
  </si>
  <si>
    <t>26373211</t>
  </si>
  <si>
    <t>МУП "Курскводоканал"</t>
  </si>
  <si>
    <t>4629026667</t>
  </si>
  <si>
    <t>27980658</t>
  </si>
  <si>
    <t>МУП "Курчатовское районное ЖКХ"</t>
  </si>
  <si>
    <t>4634011426</t>
  </si>
  <si>
    <t>31253987</t>
  </si>
  <si>
    <t>МУП "Льговское районное ЖКХ"</t>
  </si>
  <si>
    <t>4613006425</t>
  </si>
  <si>
    <t>30838799</t>
  </si>
  <si>
    <t>МУП "РВК"</t>
  </si>
  <si>
    <t>4633038351</t>
  </si>
  <si>
    <t>31446012</t>
  </si>
  <si>
    <t>МУП "СКХ"</t>
  </si>
  <si>
    <t>4623007940</t>
  </si>
  <si>
    <t>26373154</t>
  </si>
  <si>
    <t>МУП ВЖКХ села Коренево</t>
  </si>
  <si>
    <t>4610003049</t>
  </si>
  <si>
    <t>05-04-2004 00:00:00</t>
  </si>
  <si>
    <t>31280385</t>
  </si>
  <si>
    <t>МУП ВКХ администрации Шептуховского сельсовета</t>
  </si>
  <si>
    <t>4610003433</t>
  </si>
  <si>
    <t>06-02-2006 00:00:00</t>
  </si>
  <si>
    <t>26380377</t>
  </si>
  <si>
    <t>МУП ВКХ г. Суджи</t>
  </si>
  <si>
    <t>4623001105</t>
  </si>
  <si>
    <t>30372352</t>
  </si>
  <si>
    <t>МУП ЖКХ "Беловского района"</t>
  </si>
  <si>
    <t>4601005402</t>
  </si>
  <si>
    <t>460101001</t>
  </si>
  <si>
    <t>31023130</t>
  </si>
  <si>
    <t>МУП КХ "Фатеж"</t>
  </si>
  <si>
    <t>4625006412</t>
  </si>
  <si>
    <t>26520825</t>
  </si>
  <si>
    <t>ОАО «Кривец-сахар»</t>
  </si>
  <si>
    <t>4614002688</t>
  </si>
  <si>
    <t>28267645</t>
  </si>
  <si>
    <t>ОКОУ "Школа-интернат № 3" г. Курска"</t>
  </si>
  <si>
    <t>4629043359</t>
  </si>
  <si>
    <t>31297415</t>
  </si>
  <si>
    <t>ООО "АкваБор Лимитед"</t>
  </si>
  <si>
    <t>4632041753</t>
  </si>
  <si>
    <t>31459983</t>
  </si>
  <si>
    <t>ООО "ВКЦ"</t>
  </si>
  <si>
    <t>4623007869</t>
  </si>
  <si>
    <t>27783825</t>
  </si>
  <si>
    <t>ООО "Водник"</t>
  </si>
  <si>
    <t>4610003779</t>
  </si>
  <si>
    <t>11-05-2012 00:00:00</t>
  </si>
  <si>
    <t>31508996</t>
  </si>
  <si>
    <t>26654110</t>
  </si>
  <si>
    <t>ООО "Водозабор"</t>
  </si>
  <si>
    <t>4616008325</t>
  </si>
  <si>
    <t>26598074</t>
  </si>
  <si>
    <t>ООО "Водоканал"</t>
  </si>
  <si>
    <t>4613011390</t>
  </si>
  <si>
    <t>26598654</t>
  </si>
  <si>
    <t>ООО "Водоканал" п. им. К. Либнехта</t>
  </si>
  <si>
    <t>4634009762</t>
  </si>
  <si>
    <t>26380369</t>
  </si>
  <si>
    <t>ООО "ЖКХ поселка Прямицыно"</t>
  </si>
  <si>
    <t>4617005180</t>
  </si>
  <si>
    <t>26599351</t>
  </si>
  <si>
    <t>ООО "ЖКХ с. Сейм"</t>
  </si>
  <si>
    <t>4614004043</t>
  </si>
  <si>
    <t>26600215</t>
  </si>
  <si>
    <t>ООО "Жилищно-коммунальный сервис п. Возы"</t>
  </si>
  <si>
    <t>4618003996</t>
  </si>
  <si>
    <t>27712094</t>
  </si>
  <si>
    <t>ООО "Инжстройсервис"</t>
  </si>
  <si>
    <t>4611011684</t>
  </si>
  <si>
    <t>29-09-2011 00:00:00</t>
  </si>
  <si>
    <t>26594910</t>
  </si>
  <si>
    <t>ООО "КОММУНАЛЬНЫЙ"</t>
  </si>
  <si>
    <t>4607005261</t>
  </si>
  <si>
    <t>28446024</t>
  </si>
  <si>
    <t>ООО "Коммунальщик Плюс"</t>
  </si>
  <si>
    <t>4604005961</t>
  </si>
  <si>
    <t>460401001</t>
  </si>
  <si>
    <t>30990088</t>
  </si>
  <si>
    <t>ООО "Олымский сахарный завод"</t>
  </si>
  <si>
    <t>4608005793</t>
  </si>
  <si>
    <t>31550790</t>
  </si>
  <si>
    <t>ООО "Промышленная лизинговая компания"</t>
  </si>
  <si>
    <t>4632218746</t>
  </si>
  <si>
    <t>31349578</t>
  </si>
  <si>
    <t>ООО "Сатурн"</t>
  </si>
  <si>
    <t>4620014890</t>
  </si>
  <si>
    <t>31480159</t>
  </si>
  <si>
    <t>ООО "Тимводсервис"</t>
  </si>
  <si>
    <t>4624001764</t>
  </si>
  <si>
    <t>26590820</t>
  </si>
  <si>
    <t>ООО "УК ЖКХ пос. Солнечный"</t>
  </si>
  <si>
    <t>4607005310</t>
  </si>
  <si>
    <t>14-08-2008 00:00:00</t>
  </si>
  <si>
    <t>28500131</t>
  </si>
  <si>
    <t>ООО "УК Конышевская"</t>
  </si>
  <si>
    <t>4609004457</t>
  </si>
  <si>
    <t>460901001</t>
  </si>
  <si>
    <t>27990413</t>
  </si>
  <si>
    <t>ООО "Фатежское КЭХ"</t>
  </si>
  <si>
    <t>4625005948</t>
  </si>
  <si>
    <t>26806528</t>
  </si>
  <si>
    <t>ООО "Хомутовское ЖКХ"</t>
  </si>
  <si>
    <t>4626003975</t>
  </si>
  <si>
    <t>26546484</t>
  </si>
  <si>
    <t>ООО Управляющая компания "Заказчик Касторное"</t>
  </si>
  <si>
    <t>4608005627</t>
  </si>
  <si>
    <t>28067786</t>
  </si>
  <si>
    <t>ПАО "Ростелеком" в лице Курского филиала</t>
  </si>
  <si>
    <t>7707049388</t>
  </si>
  <si>
    <t>31211497</t>
  </si>
  <si>
    <t>ТСЖ "Водоснабжение Красная долина"</t>
  </si>
  <si>
    <t>4608002665</t>
  </si>
  <si>
    <t>22-12-2016 00:00:00</t>
  </si>
  <si>
    <t>31276204</t>
  </si>
  <si>
    <t>ТСЖ "Водоснабжение Орехово"</t>
  </si>
  <si>
    <t>4608006525</t>
  </si>
  <si>
    <t>31088621</t>
  </si>
  <si>
    <t>ТСН "Водоснабжение Медвенского района"</t>
  </si>
  <si>
    <t>4615007488</t>
  </si>
  <si>
    <t>17-01-2018 00:00:00</t>
  </si>
  <si>
    <t>31246183</t>
  </si>
  <si>
    <t>ТСН "Водоснабжение Нижнереутчанского сельсовета"</t>
  </si>
  <si>
    <t>4615007495</t>
  </si>
  <si>
    <t>30990108</t>
  </si>
  <si>
    <t>ТСН "Водоснабжение Солнцевского района"</t>
  </si>
  <si>
    <t>4622008147</t>
  </si>
  <si>
    <t>30861196</t>
  </si>
  <si>
    <t>Филиал "Золотухинский" ООО "КСП"</t>
  </si>
  <si>
    <t>3611009179</t>
  </si>
  <si>
    <t>31799822</t>
  </si>
  <si>
    <t>АДМИНИСТРАЦИЯ КУРЧАТОВСКОГО РАЙОНА КУРСКОЙ ОБЛАСТИ</t>
  </si>
  <si>
    <t>4634008720</t>
  </si>
  <si>
    <t>26-12-2005 00:00:00</t>
  </si>
  <si>
    <t>31408462</t>
  </si>
  <si>
    <t>АДМИНИСТРАЦИЯ СЕЛЕКЦИОННОГО СЕЛЬСОВЕТА ЛЬГОВСКОГО РАЙОНА</t>
  </si>
  <si>
    <t>4613001184</t>
  </si>
  <si>
    <t>26599727</t>
  </si>
  <si>
    <t>АНО "Водоснабжение Советского сельсовета"</t>
  </si>
  <si>
    <t>4621004333</t>
  </si>
  <si>
    <t>31256635</t>
  </si>
  <si>
    <t>Администрация Железногорского района Курской области</t>
  </si>
  <si>
    <t>4633017538</t>
  </si>
  <si>
    <t>28146382</t>
  </si>
  <si>
    <t>ЗАО "ЕПТК"</t>
  </si>
  <si>
    <t>7721012037</t>
  </si>
  <si>
    <t>770501001</t>
  </si>
  <si>
    <t>26600146</t>
  </si>
  <si>
    <t>ИП Солгалов Ю.В.</t>
  </si>
  <si>
    <t>461900035649</t>
  </si>
  <si>
    <t>26406192</t>
  </si>
  <si>
    <t>ООО "Курскхимволокно"</t>
  </si>
  <si>
    <t>7733542991</t>
  </si>
  <si>
    <t>26629630</t>
  </si>
  <si>
    <t>ООО "Промконсервы"</t>
  </si>
  <si>
    <t>7728276053</t>
  </si>
  <si>
    <t>460845004</t>
  </si>
  <si>
    <t>26598650</t>
  </si>
  <si>
    <t>ФКУ ИК-2 УФСИН России по Курской области</t>
  </si>
  <si>
    <t>4629037370</t>
  </si>
  <si>
    <t>462011001</t>
  </si>
  <si>
    <t>26503166</t>
  </si>
  <si>
    <t>ФКУ ИК-3 УФСИН России по Курской области</t>
  </si>
  <si>
    <t>4613004636</t>
  </si>
  <si>
    <t>26539451</t>
  </si>
  <si>
    <t>АО "САБ по уборке г. Курска"</t>
  </si>
  <si>
    <t>4632219475</t>
  </si>
  <si>
    <t>30908291</t>
  </si>
  <si>
    <t>ИП Дюдин А.И.</t>
  </si>
  <si>
    <t>462901255102</t>
  </si>
  <si>
    <t>30908122</t>
  </si>
  <si>
    <t>ИП Карпушин А.И.</t>
  </si>
  <si>
    <t>461500293589</t>
  </si>
  <si>
    <t>30908164</t>
  </si>
  <si>
    <t>МУП "Любимый город"</t>
  </si>
  <si>
    <t>4628003240</t>
  </si>
  <si>
    <t>30908286</t>
  </si>
  <si>
    <t>МУП ЖКХ г. Суджи</t>
  </si>
  <si>
    <t>4623003039</t>
  </si>
  <si>
    <t>30908088</t>
  </si>
  <si>
    <t>МУП ЖКХ п. Коренево</t>
  </si>
  <si>
    <t>4610000295</t>
  </si>
  <si>
    <t>30985093</t>
  </si>
  <si>
    <t>ООО "СРВ"</t>
  </si>
  <si>
    <t>4632232518</t>
  </si>
  <si>
    <t>31813873</t>
  </si>
  <si>
    <t>ООО "СУР"</t>
  </si>
  <si>
    <t>4600003963</t>
  </si>
  <si>
    <t>460001001</t>
  </si>
  <si>
    <t>03-12-2024 00:00:00</t>
  </si>
  <si>
    <t>30908077</t>
  </si>
  <si>
    <t>ООО "СпецЭкоТранс"</t>
  </si>
  <si>
    <t>4633037559</t>
  </si>
  <si>
    <t>30908264</t>
  </si>
  <si>
    <t>ООО "ТКО-Сервис"</t>
  </si>
  <si>
    <t>4616007522</t>
  </si>
  <si>
    <t>30908064</t>
  </si>
  <si>
    <t>ООО "ТКО-Транс"</t>
  </si>
  <si>
    <t>4634008430</t>
  </si>
  <si>
    <t>31716314</t>
  </si>
  <si>
    <t>ООО "Флагман-Курск"</t>
  </si>
  <si>
    <t>4632291175</t>
  </si>
  <si>
    <t>06-12-2023 00:00:00</t>
  </si>
  <si>
    <t>30908168</t>
  </si>
  <si>
    <t>ООО "ЩУК ЖКХ"</t>
  </si>
  <si>
    <t>4628006731</t>
  </si>
  <si>
    <t>30985803</t>
  </si>
  <si>
    <t>ООО "Эко-Альянс"</t>
  </si>
  <si>
    <t>7701395335</t>
  </si>
  <si>
    <t>770101001</t>
  </si>
  <si>
    <t>30987293</t>
  </si>
  <si>
    <t>ООО "ЭкоРесурс"</t>
  </si>
  <si>
    <t>4634010140</t>
  </si>
  <si>
    <t>30430600</t>
  </si>
  <si>
    <t>ООО "Экопол"</t>
  </si>
  <si>
    <t>4632060153</t>
  </si>
  <si>
    <t>30908091</t>
  </si>
  <si>
    <t>ООО "Экотранс"</t>
  </si>
  <si>
    <t>4632130361</t>
  </si>
  <si>
    <t>NSRF</t>
  </si>
  <si>
    <t>MR_NAME</t>
  </si>
  <si>
    <t>OKTMO_MR_NAME</t>
  </si>
  <si>
    <t>MO_NAME</t>
  </si>
  <si>
    <t>OKTMO_NAME</t>
  </si>
  <si>
    <t>TYPE</t>
  </si>
  <si>
    <t>MR_ID</t>
  </si>
  <si>
    <t>Беловский муниципальный район</t>
  </si>
  <si>
    <t>38602000</t>
  </si>
  <si>
    <t>Беличанский сельсовет</t>
  </si>
  <si>
    <t>38602404</t>
  </si>
  <si>
    <t>сельское поселение</t>
  </si>
  <si>
    <t>муниципальный район</t>
  </si>
  <si>
    <t>Беловский сельсовет</t>
  </si>
  <si>
    <t>38602408</t>
  </si>
  <si>
    <t>Бобравский сельсовет</t>
  </si>
  <si>
    <t>38602412</t>
  </si>
  <si>
    <t>Вишневский сельсовет</t>
  </si>
  <si>
    <t>38602416</t>
  </si>
  <si>
    <t>Гирьянский сельсовет</t>
  </si>
  <si>
    <t>38602420</t>
  </si>
  <si>
    <t>Долгобудский сельсовет</t>
  </si>
  <si>
    <t>38602424</t>
  </si>
  <si>
    <t>Ильковский сельсовет</t>
  </si>
  <si>
    <t>38602428</t>
  </si>
  <si>
    <t>Коммунаровский сельсовет</t>
  </si>
  <si>
    <t>38602430</t>
  </si>
  <si>
    <t>Кондратовский сельсовет</t>
  </si>
  <si>
    <t>38602432</t>
  </si>
  <si>
    <t>Корочанский сельсовет</t>
  </si>
  <si>
    <t>38602436</t>
  </si>
  <si>
    <t>Малосолдатский сельсовет</t>
  </si>
  <si>
    <t>38602438</t>
  </si>
  <si>
    <t>Пенский сельсовет</t>
  </si>
  <si>
    <t>38602452</t>
  </si>
  <si>
    <t>Песчанский сельсовет</t>
  </si>
  <si>
    <t>38602454</t>
  </si>
  <si>
    <t>Щеголянский сельсовет</t>
  </si>
  <si>
    <t>38602460</t>
  </si>
  <si>
    <t>Большесолдатский муниципальный район</t>
  </si>
  <si>
    <t>38603000</t>
  </si>
  <si>
    <t>Большесолдатский сельсовет</t>
  </si>
  <si>
    <t>38603403</t>
  </si>
  <si>
    <t>Волоконский сельсовет</t>
  </si>
  <si>
    <t>38603412</t>
  </si>
  <si>
    <t>Любимовский сельсовет</t>
  </si>
  <si>
    <t>38603425</t>
  </si>
  <si>
    <t>Любостанский сельсовет</t>
  </si>
  <si>
    <t>38603427</t>
  </si>
  <si>
    <t>Нижнегридинский сельсовет</t>
  </si>
  <si>
    <t>38603430</t>
  </si>
  <si>
    <t>Саморядовский сельсовет</t>
  </si>
  <si>
    <t>38603451</t>
  </si>
  <si>
    <t>Сторожевский сельсовет</t>
  </si>
  <si>
    <t>38603457</t>
  </si>
  <si>
    <t>Глушковский муниципальный район</t>
  </si>
  <si>
    <t>38604000</t>
  </si>
  <si>
    <t>Алексеевский сельсовет</t>
  </si>
  <si>
    <t>38604404</t>
  </si>
  <si>
    <t>Веселовский сельсовет</t>
  </si>
  <si>
    <t>38604412</t>
  </si>
  <si>
    <t>Званновский сельсовет</t>
  </si>
  <si>
    <t>38604420</t>
  </si>
  <si>
    <t>Карыжский сельсовет</t>
  </si>
  <si>
    <t>38604424</t>
  </si>
  <si>
    <t>Кобыльский сельсовет</t>
  </si>
  <si>
    <t>38604428</t>
  </si>
  <si>
    <t>Коровяковский сельсовет</t>
  </si>
  <si>
    <t>38604432</t>
  </si>
  <si>
    <t>Кульбакинский сельсовет</t>
  </si>
  <si>
    <t>38604436</t>
  </si>
  <si>
    <t>Марковский сельсовет</t>
  </si>
  <si>
    <t>38604440</t>
  </si>
  <si>
    <t>Нижнемордокский сельсовет</t>
  </si>
  <si>
    <t>38604444</t>
  </si>
  <si>
    <t>Попово-Лежачанский сельсовет</t>
  </si>
  <si>
    <t>38604448</t>
  </si>
  <si>
    <t>Сухиновский сельсовет</t>
  </si>
  <si>
    <t>38604456</t>
  </si>
  <si>
    <t>поселок Глушково</t>
  </si>
  <si>
    <t>38604151</t>
  </si>
  <si>
    <t>городское поселение, в состав которого входит поселок</t>
  </si>
  <si>
    <t>поселок Теткино</t>
  </si>
  <si>
    <t>38604155</t>
  </si>
  <si>
    <t>Горшеченский муниципальный район</t>
  </si>
  <si>
    <t>38606000</t>
  </si>
  <si>
    <t>Богатыревский сельсовет</t>
  </si>
  <si>
    <t>38606404</t>
  </si>
  <si>
    <t>Быковский сельсовет</t>
  </si>
  <si>
    <t>38606408</t>
  </si>
  <si>
    <t>Знаменский сельсовет</t>
  </si>
  <si>
    <t>38606412</t>
  </si>
  <si>
    <t>Ключевский сельсовет</t>
  </si>
  <si>
    <t>38606416</t>
  </si>
  <si>
    <t>Куньевский сельсовет</t>
  </si>
  <si>
    <t>38606424</t>
  </si>
  <si>
    <t>Нижнеборковский сельсовет</t>
  </si>
  <si>
    <t>38606428</t>
  </si>
  <si>
    <t>Никольский сельсовет</t>
  </si>
  <si>
    <t>38606432</t>
  </si>
  <si>
    <t>Новомеловский сельсовет</t>
  </si>
  <si>
    <t>38606436</t>
  </si>
  <si>
    <t>Солдатский сельсовет</t>
  </si>
  <si>
    <t>38606444</t>
  </si>
  <si>
    <t>Сосновский сельсовет</t>
  </si>
  <si>
    <t>38606448</t>
  </si>
  <si>
    <t>Среднеапоченский сельсовет</t>
  </si>
  <si>
    <t>38606452</t>
  </si>
  <si>
    <t>Старороговский сельсовет</t>
  </si>
  <si>
    <t>38606460</t>
  </si>
  <si>
    <t>Удобенский сельсовет</t>
  </si>
  <si>
    <t>38606468</t>
  </si>
  <si>
    <t>Ясеновский сельсовет</t>
  </si>
  <si>
    <t>38606472</t>
  </si>
  <si>
    <t>поселок Горшечное</t>
  </si>
  <si>
    <t>38606151</t>
  </si>
  <si>
    <t>Дмитриевский муниципальный район</t>
  </si>
  <si>
    <t>38608000</t>
  </si>
  <si>
    <t>Дерюгинский сельсовет</t>
  </si>
  <si>
    <t>38608416</t>
  </si>
  <si>
    <t>Крупецкой сельсовет</t>
  </si>
  <si>
    <t>38608420</t>
  </si>
  <si>
    <t>Новопершинский сельсовет</t>
  </si>
  <si>
    <t>38608432</t>
  </si>
  <si>
    <t>Первоавгустовский сельсовет</t>
  </si>
  <si>
    <t>38608438</t>
  </si>
  <si>
    <t>Поповский сельсовет</t>
  </si>
  <si>
    <t>38608444</t>
  </si>
  <si>
    <t>Почепский сельсовет</t>
  </si>
  <si>
    <t>38608448</t>
  </si>
  <si>
    <t>60</t>
  </si>
  <si>
    <t>Старогородский сельсовет</t>
  </si>
  <si>
    <t>38608460</t>
  </si>
  <si>
    <t>61</t>
  </si>
  <si>
    <t>город Дмитриев</t>
  </si>
  <si>
    <t>38608101</t>
  </si>
  <si>
    <t>городское поселение, в состав которого входит город</t>
  </si>
  <si>
    <t>62</t>
  </si>
  <si>
    <t>Железногорский муниципальный район</t>
  </si>
  <si>
    <t>38610000</t>
  </si>
  <si>
    <t>Андросовский сельсовет</t>
  </si>
  <si>
    <t>38610404</t>
  </si>
  <si>
    <t>63</t>
  </si>
  <si>
    <t>Веретенинский сельсовет</t>
  </si>
  <si>
    <t>38610410</t>
  </si>
  <si>
    <t>64</t>
  </si>
  <si>
    <t>Волковский сельсовет</t>
  </si>
  <si>
    <t>38610412</t>
  </si>
  <si>
    <t>65</t>
  </si>
  <si>
    <t>Городновский сельсовет</t>
  </si>
  <si>
    <t>38610414</t>
  </si>
  <si>
    <t>67</t>
  </si>
  <si>
    <t>Кармановский сельсовет</t>
  </si>
  <si>
    <t>38610428</t>
  </si>
  <si>
    <t>Линецкий сельсовет</t>
  </si>
  <si>
    <t>38610416</t>
  </si>
  <si>
    <t>69</t>
  </si>
  <si>
    <t>Михайловский сельсовет</t>
  </si>
  <si>
    <t>38610420</t>
  </si>
  <si>
    <t>70</t>
  </si>
  <si>
    <t>Новоандросовский сельсовет</t>
  </si>
  <si>
    <t>38610424</t>
  </si>
  <si>
    <t>71</t>
  </si>
  <si>
    <t>Разветьевский сельсовет</t>
  </si>
  <si>
    <t>38610432</t>
  </si>
  <si>
    <t>72</t>
  </si>
  <si>
    <t>Рышковский сельсовет</t>
  </si>
  <si>
    <t>38610440</t>
  </si>
  <si>
    <t>73</t>
  </si>
  <si>
    <t>Студенокский сельсовет</t>
  </si>
  <si>
    <t>38610446</t>
  </si>
  <si>
    <t>74</t>
  </si>
  <si>
    <t>Троицкий сельсовет</t>
  </si>
  <si>
    <t>38610448</t>
  </si>
  <si>
    <t>75</t>
  </si>
  <si>
    <t>поселок Магнитный</t>
  </si>
  <si>
    <t>38610160</t>
  </si>
  <si>
    <t>76</t>
  </si>
  <si>
    <t>Золотухинский муниципальный район</t>
  </si>
  <si>
    <t>38612000</t>
  </si>
  <si>
    <t>Ануфриевский сельсовет</t>
  </si>
  <si>
    <t>38612404</t>
  </si>
  <si>
    <t>77</t>
  </si>
  <si>
    <t>Апальковский сельсовет</t>
  </si>
  <si>
    <t>38612406</t>
  </si>
  <si>
    <t>78</t>
  </si>
  <si>
    <t>Будановский сельсовет</t>
  </si>
  <si>
    <t>38612412</t>
  </si>
  <si>
    <t>79</t>
  </si>
  <si>
    <t>Дмитриевский сельсовет</t>
  </si>
  <si>
    <t>38612428</t>
  </si>
  <si>
    <t>80</t>
  </si>
  <si>
    <t>Донской сельсовет</t>
  </si>
  <si>
    <t>38612432</t>
  </si>
  <si>
    <t>81</t>
  </si>
  <si>
    <t>82</t>
  </si>
  <si>
    <t>Новоспасский сельсовет</t>
  </si>
  <si>
    <t>38612444</t>
  </si>
  <si>
    <t>83</t>
  </si>
  <si>
    <t>Свободинский сельсовет</t>
  </si>
  <si>
    <t>38612456</t>
  </si>
  <si>
    <t>84</t>
  </si>
  <si>
    <t>Солнечный сельсовет</t>
  </si>
  <si>
    <t>38612466</t>
  </si>
  <si>
    <t>85</t>
  </si>
  <si>
    <t>Тазовский сельсовет</t>
  </si>
  <si>
    <t>38612468</t>
  </si>
  <si>
    <t>86</t>
  </si>
  <si>
    <t>поселок Золотухино</t>
  </si>
  <si>
    <t>38612151</t>
  </si>
  <si>
    <t>87</t>
  </si>
  <si>
    <t>Касторенский муниципальный район</t>
  </si>
  <si>
    <t>38614000</t>
  </si>
  <si>
    <t>38614408</t>
  </si>
  <si>
    <t>88</t>
  </si>
  <si>
    <t>Андреевский сельсовет</t>
  </si>
  <si>
    <t>38614410</t>
  </si>
  <si>
    <t>89</t>
  </si>
  <si>
    <t>Верхнеграйворонский сельсовет</t>
  </si>
  <si>
    <t>38614416</t>
  </si>
  <si>
    <t>90</t>
  </si>
  <si>
    <t>Егорьевский сельсовет</t>
  </si>
  <si>
    <t>38614428</t>
  </si>
  <si>
    <t>91</t>
  </si>
  <si>
    <t>Жерновецкий сельсовет</t>
  </si>
  <si>
    <t>38614432</t>
  </si>
  <si>
    <t>92</t>
  </si>
  <si>
    <t>93</t>
  </si>
  <si>
    <t>Котовский сельсовет</t>
  </si>
  <si>
    <t>38614436</t>
  </si>
  <si>
    <t>94</t>
  </si>
  <si>
    <t>Краснодолинский сельсовет</t>
  </si>
  <si>
    <t>38614440</t>
  </si>
  <si>
    <t>95</t>
  </si>
  <si>
    <t>Краснознаменский сельсовет</t>
  </si>
  <si>
    <t>38614444</t>
  </si>
  <si>
    <t>96</t>
  </si>
  <si>
    <t>Лачиновский сельсовет</t>
  </si>
  <si>
    <t>38614448</t>
  </si>
  <si>
    <t>97</t>
  </si>
  <si>
    <t>Ленинский сельсовет</t>
  </si>
  <si>
    <t>38614452</t>
  </si>
  <si>
    <t>98</t>
  </si>
  <si>
    <t>Ореховский сельсовет</t>
  </si>
  <si>
    <t>38614464</t>
  </si>
  <si>
    <t>99</t>
  </si>
  <si>
    <t>Семеновский сельсовет</t>
  </si>
  <si>
    <t>38614472</t>
  </si>
  <si>
    <t>100</t>
  </si>
  <si>
    <t>Успенский сельсовет</t>
  </si>
  <si>
    <t>38614476</t>
  </si>
  <si>
    <t>101</t>
  </si>
  <si>
    <t>поселок Касторное</t>
  </si>
  <si>
    <t>38614151</t>
  </si>
  <si>
    <t>102</t>
  </si>
  <si>
    <t>поселок Новокасторное</t>
  </si>
  <si>
    <t>38614153</t>
  </si>
  <si>
    <t>103</t>
  </si>
  <si>
    <t>поселок Олымский</t>
  </si>
  <si>
    <t>38614154</t>
  </si>
  <si>
    <t>104</t>
  </si>
  <si>
    <t>Конышевский муниципальный район</t>
  </si>
  <si>
    <t>38616000</t>
  </si>
  <si>
    <t>Беляевский сельсовет</t>
  </si>
  <si>
    <t>38616404</t>
  </si>
  <si>
    <t>105</t>
  </si>
  <si>
    <t>Ваблинский сельсовет</t>
  </si>
  <si>
    <t>38616408</t>
  </si>
  <si>
    <t>106</t>
  </si>
  <si>
    <t>Захарковский сельсовет</t>
  </si>
  <si>
    <t>38616420</t>
  </si>
  <si>
    <t>107</t>
  </si>
  <si>
    <t>108</t>
  </si>
  <si>
    <t>Малогородьковский сельсовет</t>
  </si>
  <si>
    <t>38616426</t>
  </si>
  <si>
    <t>109</t>
  </si>
  <si>
    <t>Машкинский сельсовет</t>
  </si>
  <si>
    <t>38616428</t>
  </si>
  <si>
    <t>110</t>
  </si>
  <si>
    <t>Наумовский сельсовет</t>
  </si>
  <si>
    <t>38616432</t>
  </si>
  <si>
    <t>111</t>
  </si>
  <si>
    <t>Платавский сельсовет</t>
  </si>
  <si>
    <t>38616436</t>
  </si>
  <si>
    <t>112</t>
  </si>
  <si>
    <t>Прилепский сельсовет</t>
  </si>
  <si>
    <t>38616440</t>
  </si>
  <si>
    <t>113</t>
  </si>
  <si>
    <t>Старобелицкий сельсовет</t>
  </si>
  <si>
    <t>38616444</t>
  </si>
  <si>
    <t>114</t>
  </si>
  <si>
    <t>поселок Конышевка</t>
  </si>
  <si>
    <t>38616151</t>
  </si>
  <si>
    <t>115</t>
  </si>
  <si>
    <t>Кореневский муниципальный район</t>
  </si>
  <si>
    <t>38618000</t>
  </si>
  <si>
    <t>Викторовский сельсовет</t>
  </si>
  <si>
    <t>38618412</t>
  </si>
  <si>
    <t>116</t>
  </si>
  <si>
    <t>Комаровский сельсовет</t>
  </si>
  <si>
    <t>38618416</t>
  </si>
  <si>
    <t>117</t>
  </si>
  <si>
    <t>118</t>
  </si>
  <si>
    <t>Кореневский сельсовет</t>
  </si>
  <si>
    <t>38618420</t>
  </si>
  <si>
    <t>119</t>
  </si>
  <si>
    <t>38618428</t>
  </si>
  <si>
    <t>120</t>
  </si>
  <si>
    <t>Ольговский сельсовет</t>
  </si>
  <si>
    <t>38618432</t>
  </si>
  <si>
    <t>121</t>
  </si>
  <si>
    <t>Пушкарский сельсовет</t>
  </si>
  <si>
    <t>38618436</t>
  </si>
  <si>
    <t>122</t>
  </si>
  <si>
    <t>Снагостский сельсовет</t>
  </si>
  <si>
    <t>38618444</t>
  </si>
  <si>
    <t>123</t>
  </si>
  <si>
    <t>Толпинский сельсовет</t>
  </si>
  <si>
    <t>38618448</t>
  </si>
  <si>
    <t>124</t>
  </si>
  <si>
    <t>Шептуховский сельсовет</t>
  </si>
  <si>
    <t>38618452</t>
  </si>
  <si>
    <t>125</t>
  </si>
  <si>
    <t>поселок Коренево</t>
  </si>
  <si>
    <t>38618151</t>
  </si>
  <si>
    <t>126</t>
  </si>
  <si>
    <t>Курский муниципальный район</t>
  </si>
  <si>
    <t>38620000</t>
  </si>
  <si>
    <t>Бесединский сельсовет</t>
  </si>
  <si>
    <t>38620408</t>
  </si>
  <si>
    <t>127</t>
  </si>
  <si>
    <t>Брежневский сельсовет</t>
  </si>
  <si>
    <t>38620412</t>
  </si>
  <si>
    <t>128</t>
  </si>
  <si>
    <t>Винниковский сельсовет</t>
  </si>
  <si>
    <t>38620420</t>
  </si>
  <si>
    <t>129</t>
  </si>
  <si>
    <t>Ворошневский сельсовет</t>
  </si>
  <si>
    <t>38620424</t>
  </si>
  <si>
    <t>130</t>
  </si>
  <si>
    <t>Камышинский сельсовет</t>
  </si>
  <si>
    <t>38620426</t>
  </si>
  <si>
    <t>131</t>
  </si>
  <si>
    <t>Клюквинский сельсовет</t>
  </si>
  <si>
    <t>38620428</t>
  </si>
  <si>
    <t>132</t>
  </si>
  <si>
    <t>133</t>
  </si>
  <si>
    <t>Лебяженский сельсовет</t>
  </si>
  <si>
    <t>38620432</t>
  </si>
  <si>
    <t>134</t>
  </si>
  <si>
    <t>Моковский сельсовет</t>
  </si>
  <si>
    <t>38620436</t>
  </si>
  <si>
    <t>135</t>
  </si>
  <si>
    <t>Нижнемедведицкий сельсовет</t>
  </si>
  <si>
    <t>38620448</t>
  </si>
  <si>
    <t>136</t>
  </si>
  <si>
    <t>Новопоселеновский сельсовет</t>
  </si>
  <si>
    <t>38620452</t>
  </si>
  <si>
    <t>137</t>
  </si>
  <si>
    <t>Ноздрачевский сельсовет</t>
  </si>
  <si>
    <t>38620456</t>
  </si>
  <si>
    <t>138</t>
  </si>
  <si>
    <t>Пашковский сельсовет</t>
  </si>
  <si>
    <t>38620460</t>
  </si>
  <si>
    <t>139</t>
  </si>
  <si>
    <t>Полевской сельсовет</t>
  </si>
  <si>
    <t>38620468</t>
  </si>
  <si>
    <t>140</t>
  </si>
  <si>
    <t>Полянский сельсовет</t>
  </si>
  <si>
    <t>38620472</t>
  </si>
  <si>
    <t>141</t>
  </si>
  <si>
    <t>38620476</t>
  </si>
  <si>
    <t>142</t>
  </si>
  <si>
    <t>Шумаковский сельсовет</t>
  </si>
  <si>
    <t>38620488</t>
  </si>
  <si>
    <t>143</t>
  </si>
  <si>
    <t>Щетинский сельсовет</t>
  </si>
  <si>
    <t>38620492</t>
  </si>
  <si>
    <t>144</t>
  </si>
  <si>
    <t>Курчатовский муниципальный район</t>
  </si>
  <si>
    <t>38621000</t>
  </si>
  <si>
    <t>Дичнянский сельсовет</t>
  </si>
  <si>
    <t>38621442</t>
  </si>
  <si>
    <t>145</t>
  </si>
  <si>
    <t>Дружненский сельсовет</t>
  </si>
  <si>
    <t>38621410</t>
  </si>
  <si>
    <t>146</t>
  </si>
  <si>
    <t>Колпаковский сельсовет</t>
  </si>
  <si>
    <t>38621418</t>
  </si>
  <si>
    <t>147</t>
  </si>
  <si>
    <t>Костельцевский сельсовет</t>
  </si>
  <si>
    <t>38621425</t>
  </si>
  <si>
    <t>148</t>
  </si>
  <si>
    <t>149</t>
  </si>
  <si>
    <t>Макаровский сельсовет</t>
  </si>
  <si>
    <t>38621422</t>
  </si>
  <si>
    <t>150</t>
  </si>
  <si>
    <t>Чаплинский сельсовет</t>
  </si>
  <si>
    <t>38621449</t>
  </si>
  <si>
    <t>151</t>
  </si>
  <si>
    <t>поселок Иванино</t>
  </si>
  <si>
    <t>38621152</t>
  </si>
  <si>
    <t>152</t>
  </si>
  <si>
    <t>поселок имени Карла Либкнехта</t>
  </si>
  <si>
    <t>38621153</t>
  </si>
  <si>
    <t>153</t>
  </si>
  <si>
    <t>Льговский муниципальный район</t>
  </si>
  <si>
    <t>38622000</t>
  </si>
  <si>
    <t>Большеугонский сельсовет</t>
  </si>
  <si>
    <t>38622410</t>
  </si>
  <si>
    <t>154</t>
  </si>
  <si>
    <t>Вышнедеревенский сельсовет</t>
  </si>
  <si>
    <t>38622417</t>
  </si>
  <si>
    <t>155</t>
  </si>
  <si>
    <t>Городенский сельсовет</t>
  </si>
  <si>
    <t>38622420</t>
  </si>
  <si>
    <t>156</t>
  </si>
  <si>
    <t>Густомойский сельсовет</t>
  </si>
  <si>
    <t>38622424</t>
  </si>
  <si>
    <t>157</t>
  </si>
  <si>
    <t>Иванчиковский сельсовет</t>
  </si>
  <si>
    <t>38622435</t>
  </si>
  <si>
    <t>158</t>
  </si>
  <si>
    <t>Кудинцевский сельсовет</t>
  </si>
  <si>
    <t>38622450</t>
  </si>
  <si>
    <t>159</t>
  </si>
  <si>
    <t>160</t>
  </si>
  <si>
    <t>Марицкий сельсовет</t>
  </si>
  <si>
    <t>38622464</t>
  </si>
  <si>
    <t>161</t>
  </si>
  <si>
    <t>Селекционный сельсовет</t>
  </si>
  <si>
    <t>38622477</t>
  </si>
  <si>
    <t>162</t>
  </si>
  <si>
    <t>Мантуровский муниципальный район</t>
  </si>
  <si>
    <t>38623000</t>
  </si>
  <si>
    <t>2 Засеймский сельсовет</t>
  </si>
  <si>
    <t>38623410</t>
  </si>
  <si>
    <t>163</t>
  </si>
  <si>
    <t>Куськинский сельсовет</t>
  </si>
  <si>
    <t>38623419</t>
  </si>
  <si>
    <t>164</t>
  </si>
  <si>
    <t>165</t>
  </si>
  <si>
    <t>Мантуровский сельсовет</t>
  </si>
  <si>
    <t>38623422</t>
  </si>
  <si>
    <t>166</t>
  </si>
  <si>
    <t>Останинский сельсовет</t>
  </si>
  <si>
    <t>38623426</t>
  </si>
  <si>
    <t>167</t>
  </si>
  <si>
    <t>Репецкий сельсовет</t>
  </si>
  <si>
    <t>38623436</t>
  </si>
  <si>
    <t>168</t>
  </si>
  <si>
    <t>Сеймский сельсовет</t>
  </si>
  <si>
    <t>38623441</t>
  </si>
  <si>
    <t>169</t>
  </si>
  <si>
    <t>Ястребовский сельсовет</t>
  </si>
  <si>
    <t>38623460</t>
  </si>
  <si>
    <t>170</t>
  </si>
  <si>
    <t>Медвенский муниципальный район</t>
  </si>
  <si>
    <t>38624000</t>
  </si>
  <si>
    <t>Амосовский сельсовет</t>
  </si>
  <si>
    <t>38624404</t>
  </si>
  <si>
    <t>171</t>
  </si>
  <si>
    <t>Высокский сельсовет</t>
  </si>
  <si>
    <t>38624408</t>
  </si>
  <si>
    <t>172</t>
  </si>
  <si>
    <t>Вышнереутчанский сельсовет</t>
  </si>
  <si>
    <t>38624416</t>
  </si>
  <si>
    <t>173</t>
  </si>
  <si>
    <t>Гостомлянский сельсовет</t>
  </si>
  <si>
    <t>38624420</t>
  </si>
  <si>
    <t>174</t>
  </si>
  <si>
    <t>Китаевский сельсовет</t>
  </si>
  <si>
    <t>38624424</t>
  </si>
  <si>
    <t>175</t>
  </si>
  <si>
    <t>176</t>
  </si>
  <si>
    <t>Нижнереутчанский сельсовет</t>
  </si>
  <si>
    <t>38624436</t>
  </si>
  <si>
    <t>177</t>
  </si>
  <si>
    <t>Паникинский сельсовет</t>
  </si>
  <si>
    <t>38624440</t>
  </si>
  <si>
    <t>178</t>
  </si>
  <si>
    <t>Панинский сельсовет</t>
  </si>
  <si>
    <t>38624444</t>
  </si>
  <si>
    <t>179</t>
  </si>
  <si>
    <t>Черемошнянский сельсовет</t>
  </si>
  <si>
    <t>38624456</t>
  </si>
  <si>
    <t>180</t>
  </si>
  <si>
    <t>поселок Медвенка</t>
  </si>
  <si>
    <t>38624151</t>
  </si>
  <si>
    <t>181</t>
  </si>
  <si>
    <t>Обоянский муниципальный район</t>
  </si>
  <si>
    <t>38626000</t>
  </si>
  <si>
    <t>Афанасьевский сельсовет</t>
  </si>
  <si>
    <t>38626404</t>
  </si>
  <si>
    <t>182</t>
  </si>
  <si>
    <t>Бабинский сельсовет</t>
  </si>
  <si>
    <t>38626408</t>
  </si>
  <si>
    <t>183</t>
  </si>
  <si>
    <t>Башкатовский сельсовет</t>
  </si>
  <si>
    <t>38626412</t>
  </si>
  <si>
    <t>184</t>
  </si>
  <si>
    <t>Быкановский сельсовет</t>
  </si>
  <si>
    <t>38626420</t>
  </si>
  <si>
    <t>185</t>
  </si>
  <si>
    <t>Гридасовский сельсовет</t>
  </si>
  <si>
    <t>38626424</t>
  </si>
  <si>
    <t>186</t>
  </si>
  <si>
    <t>Зоринский сельсовет</t>
  </si>
  <si>
    <t>38626432</t>
  </si>
  <si>
    <t>187</t>
  </si>
  <si>
    <t>Каменский сельсовет</t>
  </si>
  <si>
    <t>38626436</t>
  </si>
  <si>
    <t>188</t>
  </si>
  <si>
    <t>Котельниковский сельсовет</t>
  </si>
  <si>
    <t>38626444</t>
  </si>
  <si>
    <t>189</t>
  </si>
  <si>
    <t>190</t>
  </si>
  <si>
    <t>Рудавский сельсовет</t>
  </si>
  <si>
    <t>38626456</t>
  </si>
  <si>
    <t>191</t>
  </si>
  <si>
    <t>Рыбино-Будский сельсовет</t>
  </si>
  <si>
    <t>38626460</t>
  </si>
  <si>
    <t>192</t>
  </si>
  <si>
    <t>Усланский сельсовет</t>
  </si>
  <si>
    <t>38626468</t>
  </si>
  <si>
    <t>193</t>
  </si>
  <si>
    <t>Шевелевский сельсовет</t>
  </si>
  <si>
    <t>38626472</t>
  </si>
  <si>
    <t>194</t>
  </si>
  <si>
    <t>город Обоянь</t>
  </si>
  <si>
    <t>38626101</t>
  </si>
  <si>
    <t>195</t>
  </si>
  <si>
    <t>Октябрьский муниципальный район</t>
  </si>
  <si>
    <t>38628000</t>
  </si>
  <si>
    <t>Артюховский сельсовет</t>
  </si>
  <si>
    <t>38628404</t>
  </si>
  <si>
    <t>196</t>
  </si>
  <si>
    <t>Большедолженковский сельсовет</t>
  </si>
  <si>
    <t>38628408</t>
  </si>
  <si>
    <t>197</t>
  </si>
  <si>
    <t>Дьяконовский сельсовет</t>
  </si>
  <si>
    <t>38628412</t>
  </si>
  <si>
    <t>198</t>
  </si>
  <si>
    <t>Катыринский сельсовет</t>
  </si>
  <si>
    <t>38628416</t>
  </si>
  <si>
    <t>199</t>
  </si>
  <si>
    <t>Лобазовский сельсовет</t>
  </si>
  <si>
    <t>38628420</t>
  </si>
  <si>
    <t>200</t>
  </si>
  <si>
    <t>38628424</t>
  </si>
  <si>
    <t>201</t>
  </si>
  <si>
    <t>202</t>
  </si>
  <si>
    <t>Плотавский сельсовет</t>
  </si>
  <si>
    <t>38628426</t>
  </si>
  <si>
    <t>203</t>
  </si>
  <si>
    <t>Старковский сельсовет</t>
  </si>
  <si>
    <t>38628428</t>
  </si>
  <si>
    <t>204</t>
  </si>
  <si>
    <t>Филипповский сельсовет</t>
  </si>
  <si>
    <t>38628432</t>
  </si>
  <si>
    <t>205</t>
  </si>
  <si>
    <t>Черницынский сельсовет</t>
  </si>
  <si>
    <t>38628436</t>
  </si>
  <si>
    <t>206</t>
  </si>
  <si>
    <t>поселок Прямицыно</t>
  </si>
  <si>
    <t>38628151</t>
  </si>
  <si>
    <t>207</t>
  </si>
  <si>
    <t>Поныровский муниципальный район</t>
  </si>
  <si>
    <t>38630000</t>
  </si>
  <si>
    <t>1-й Поныровский сельсовет</t>
  </si>
  <si>
    <t>38630436</t>
  </si>
  <si>
    <t>208</t>
  </si>
  <si>
    <t>2-й Поныровский сельсовет</t>
  </si>
  <si>
    <t>38630440</t>
  </si>
  <si>
    <t>209</t>
  </si>
  <si>
    <t>Верхне-Смородинский сельсовет</t>
  </si>
  <si>
    <t>38630416</t>
  </si>
  <si>
    <t>210</t>
  </si>
  <si>
    <t>Возовский сельсовет</t>
  </si>
  <si>
    <t>38630418</t>
  </si>
  <si>
    <t>211</t>
  </si>
  <si>
    <t>Горяйновский сельсовет</t>
  </si>
  <si>
    <t>38630419</t>
  </si>
  <si>
    <t>212</t>
  </si>
  <si>
    <t>Ольховатский сельсовет</t>
  </si>
  <si>
    <t>38630428</t>
  </si>
  <si>
    <t>213</t>
  </si>
  <si>
    <t>Первомайский сельсовет</t>
  </si>
  <si>
    <t>38630432</t>
  </si>
  <si>
    <t>214</t>
  </si>
  <si>
    <t>215</t>
  </si>
  <si>
    <t>поселок Поныри</t>
  </si>
  <si>
    <t>38630151</t>
  </si>
  <si>
    <t>216</t>
  </si>
  <si>
    <t>Пристенский муниципальный район</t>
  </si>
  <si>
    <t>38632000</t>
  </si>
  <si>
    <t>Бобрышевский сельсовет</t>
  </si>
  <si>
    <t>38632404</t>
  </si>
  <si>
    <t>217</t>
  </si>
  <si>
    <t>38632428</t>
  </si>
  <si>
    <t>218</t>
  </si>
  <si>
    <t>Нагольненский сельсовет</t>
  </si>
  <si>
    <t>38632432</t>
  </si>
  <si>
    <t>219</t>
  </si>
  <si>
    <t>220</t>
  </si>
  <si>
    <t>Пристенский сельсовет</t>
  </si>
  <si>
    <t>38632444</t>
  </si>
  <si>
    <t>221</t>
  </si>
  <si>
    <t>Сазановский сельсовет</t>
  </si>
  <si>
    <t>38632460</t>
  </si>
  <si>
    <t>222</t>
  </si>
  <si>
    <t>Среднеольшанский сельсовет</t>
  </si>
  <si>
    <t>38632464</t>
  </si>
  <si>
    <t>223</t>
  </si>
  <si>
    <t>Черновецкий сельсовет</t>
  </si>
  <si>
    <t>38632473</t>
  </si>
  <si>
    <t>224</t>
  </si>
  <si>
    <t>Ярыгинский сельсовет</t>
  </si>
  <si>
    <t>38632480</t>
  </si>
  <si>
    <t>225</t>
  </si>
  <si>
    <t>поселок Кировский</t>
  </si>
  <si>
    <t>38632152</t>
  </si>
  <si>
    <t>226</t>
  </si>
  <si>
    <t>поселок Пристень</t>
  </si>
  <si>
    <t>38632151</t>
  </si>
  <si>
    <t>227</t>
  </si>
  <si>
    <t>Рыльский муниципальный район</t>
  </si>
  <si>
    <t>38634000</t>
  </si>
  <si>
    <t>Березниковский сельсовет</t>
  </si>
  <si>
    <t>38634412</t>
  </si>
  <si>
    <t>228</t>
  </si>
  <si>
    <t>Дуровский сельсовет</t>
  </si>
  <si>
    <t>38634432</t>
  </si>
  <si>
    <t>229</t>
  </si>
  <si>
    <t>Ивановский сельсовет</t>
  </si>
  <si>
    <t>38634436</t>
  </si>
  <si>
    <t>230</t>
  </si>
  <si>
    <t>Козинский сельсовет</t>
  </si>
  <si>
    <t>38634443</t>
  </si>
  <si>
    <t>231</t>
  </si>
  <si>
    <t>Крупецкий сельсовет</t>
  </si>
  <si>
    <t>38634448</t>
  </si>
  <si>
    <t>232</t>
  </si>
  <si>
    <t>Малогнеушевский сельсовет</t>
  </si>
  <si>
    <t>38634460</t>
  </si>
  <si>
    <t>233</t>
  </si>
  <si>
    <t>38634464</t>
  </si>
  <si>
    <t>234</t>
  </si>
  <si>
    <t>Некрасовский сельсовет</t>
  </si>
  <si>
    <t>38634468</t>
  </si>
  <si>
    <t>235</t>
  </si>
  <si>
    <t>Нехаевский сельсовет</t>
  </si>
  <si>
    <t>38634472</t>
  </si>
  <si>
    <t>236</t>
  </si>
  <si>
    <t>Никольниковский сельсовет</t>
  </si>
  <si>
    <t>38634476</t>
  </si>
  <si>
    <t>237</t>
  </si>
  <si>
    <t>Октябрьский сельсовет</t>
  </si>
  <si>
    <t>38634484</t>
  </si>
  <si>
    <t>238</t>
  </si>
  <si>
    <t>Пригородненский сельсовет</t>
  </si>
  <si>
    <t>38634488</t>
  </si>
  <si>
    <t>239</t>
  </si>
  <si>
    <t>240</t>
  </si>
  <si>
    <t>38634492</t>
  </si>
  <si>
    <t>241</t>
  </si>
  <si>
    <t>Щекинский сельсовет</t>
  </si>
  <si>
    <t>38634496</t>
  </si>
  <si>
    <t>242</t>
  </si>
  <si>
    <t>город Рыльск</t>
  </si>
  <si>
    <t>38634101</t>
  </si>
  <si>
    <t>243</t>
  </si>
  <si>
    <t>Советский муниципальный район</t>
  </si>
  <si>
    <t>38636000</t>
  </si>
  <si>
    <t>Александровский сельсовет</t>
  </si>
  <si>
    <t>38636404</t>
  </si>
  <si>
    <t>244</t>
  </si>
  <si>
    <t>Верхнерагозецкий сельсовет</t>
  </si>
  <si>
    <t>38636412</t>
  </si>
  <si>
    <t>245</t>
  </si>
  <si>
    <t>Волжанский сельсовет</t>
  </si>
  <si>
    <t>38636416</t>
  </si>
  <si>
    <t>246</t>
  </si>
  <si>
    <t>38636424</t>
  </si>
  <si>
    <t>247</t>
  </si>
  <si>
    <t>Ледовский сельсовет</t>
  </si>
  <si>
    <t>38636432</t>
  </si>
  <si>
    <t>248</t>
  </si>
  <si>
    <t>38636434</t>
  </si>
  <si>
    <t>249</t>
  </si>
  <si>
    <t>Мансуровский сельсовет</t>
  </si>
  <si>
    <t>38636436</t>
  </si>
  <si>
    <t>250</t>
  </si>
  <si>
    <t>Михайлоанненский сельсовет</t>
  </si>
  <si>
    <t>38636440</t>
  </si>
  <si>
    <t>251</t>
  </si>
  <si>
    <t>Нижнеграйворонский сельсовет</t>
  </si>
  <si>
    <t>38636448</t>
  </si>
  <si>
    <t>252</t>
  </si>
  <si>
    <t>253</t>
  </si>
  <si>
    <t>Советский сельсовет</t>
  </si>
  <si>
    <t>38636464</t>
  </si>
  <si>
    <t>254</t>
  </si>
  <si>
    <t>поселок Кшенский</t>
  </si>
  <si>
    <t>38636151</t>
  </si>
  <si>
    <t>255</t>
  </si>
  <si>
    <t>Солнцевский муниципальный район</t>
  </si>
  <si>
    <t>38638000</t>
  </si>
  <si>
    <t>Бунинский сельсовет</t>
  </si>
  <si>
    <t>38638408</t>
  </si>
  <si>
    <t>256</t>
  </si>
  <si>
    <t>Зуевский сельсовет</t>
  </si>
  <si>
    <t>38638428</t>
  </si>
  <si>
    <t>257</t>
  </si>
  <si>
    <t>38638432</t>
  </si>
  <si>
    <t>258</t>
  </si>
  <si>
    <t>259</t>
  </si>
  <si>
    <t>Старолещинский сельсовет</t>
  </si>
  <si>
    <t>38638448</t>
  </si>
  <si>
    <t>260</t>
  </si>
  <si>
    <t>Субботинский сельсовет</t>
  </si>
  <si>
    <t>38638452</t>
  </si>
  <si>
    <t>261</t>
  </si>
  <si>
    <t>38638460</t>
  </si>
  <si>
    <t>262</t>
  </si>
  <si>
    <t>поселок Солнцево</t>
  </si>
  <si>
    <t>38638151</t>
  </si>
  <si>
    <t>263</t>
  </si>
  <si>
    <t>Суджанский муниципальный район</t>
  </si>
  <si>
    <t>38640000</t>
  </si>
  <si>
    <t>Борковский сельсовет</t>
  </si>
  <si>
    <t>38640410</t>
  </si>
  <si>
    <t>264</t>
  </si>
  <si>
    <t>Воробжанский сельсовет</t>
  </si>
  <si>
    <t>38640415</t>
  </si>
  <si>
    <t>265</t>
  </si>
  <si>
    <t>Гончаровский сельсовет</t>
  </si>
  <si>
    <t>38640421</t>
  </si>
  <si>
    <t>266</t>
  </si>
  <si>
    <t>Гуевский сельсовет</t>
  </si>
  <si>
    <t>38640424</t>
  </si>
  <si>
    <t>267</t>
  </si>
  <si>
    <t>Замостянский сельсовет</t>
  </si>
  <si>
    <t>38640430</t>
  </si>
  <si>
    <t>268</t>
  </si>
  <si>
    <t>Заолешенский сельсовет</t>
  </si>
  <si>
    <t>38640433</t>
  </si>
  <si>
    <t>269</t>
  </si>
  <si>
    <t>Казачелокнянский сельсовет</t>
  </si>
  <si>
    <t>38640438</t>
  </si>
  <si>
    <t>270</t>
  </si>
  <si>
    <t>Малолокнянский сельсовет</t>
  </si>
  <si>
    <t>38640450</t>
  </si>
  <si>
    <t>271</t>
  </si>
  <si>
    <t>Мартыновский сельсовет</t>
  </si>
  <si>
    <t>38640453</t>
  </si>
  <si>
    <t>272</t>
  </si>
  <si>
    <t>Махновский сельсовет</t>
  </si>
  <si>
    <t>38640456</t>
  </si>
  <si>
    <t>273</t>
  </si>
  <si>
    <t>Новоивановский сельсовет</t>
  </si>
  <si>
    <t>38640463</t>
  </si>
  <si>
    <t>274</t>
  </si>
  <si>
    <t>Плеховский сельсовет</t>
  </si>
  <si>
    <t>38640466</t>
  </si>
  <si>
    <t>275</t>
  </si>
  <si>
    <t>Погребской сельсовет</t>
  </si>
  <si>
    <t>38640469</t>
  </si>
  <si>
    <t>276</t>
  </si>
  <si>
    <t>Пореченский сельсовет</t>
  </si>
  <si>
    <t>38640472</t>
  </si>
  <si>
    <t>277</t>
  </si>
  <si>
    <t>Свердликовский сельсовет</t>
  </si>
  <si>
    <t>38640474</t>
  </si>
  <si>
    <t>278</t>
  </si>
  <si>
    <t>279</t>
  </si>
  <si>
    <t>Уланковский сельсовет</t>
  </si>
  <si>
    <t>38640480</t>
  </si>
  <si>
    <t>280</t>
  </si>
  <si>
    <t>город Суджа</t>
  </si>
  <si>
    <t>38640101</t>
  </si>
  <si>
    <t>281</t>
  </si>
  <si>
    <t>Тимский муниципальный район</t>
  </si>
  <si>
    <t>38642000</t>
  </si>
  <si>
    <t>Барковский сельсовет</t>
  </si>
  <si>
    <t>38642401</t>
  </si>
  <si>
    <t>282</t>
  </si>
  <si>
    <t>Быстрецкий сельсовет</t>
  </si>
  <si>
    <t>38642402</t>
  </si>
  <si>
    <t>283</t>
  </si>
  <si>
    <t>Выгорновский сельсовет</t>
  </si>
  <si>
    <t>38642404</t>
  </si>
  <si>
    <t>284</t>
  </si>
  <si>
    <t>38642432</t>
  </si>
  <si>
    <t>285</t>
  </si>
  <si>
    <t>Погоженский сельсовет</t>
  </si>
  <si>
    <t>38642444</t>
  </si>
  <si>
    <t>286</t>
  </si>
  <si>
    <t>Становский сельсовет</t>
  </si>
  <si>
    <t>38642468</t>
  </si>
  <si>
    <t>287</t>
  </si>
  <si>
    <t>288</t>
  </si>
  <si>
    <t>Тимский сельсовет</t>
  </si>
  <si>
    <t>38642472</t>
  </si>
  <si>
    <t>289</t>
  </si>
  <si>
    <t>38642476</t>
  </si>
  <si>
    <t>290</t>
  </si>
  <si>
    <t>поселок Тим</t>
  </si>
  <si>
    <t>38642151</t>
  </si>
  <si>
    <t>291</t>
  </si>
  <si>
    <t>Фатежский муниципальный район</t>
  </si>
  <si>
    <t>38644000</t>
  </si>
  <si>
    <t>Банинский сельсовет</t>
  </si>
  <si>
    <t>38644402</t>
  </si>
  <si>
    <t>292</t>
  </si>
  <si>
    <t>Большеанненковский сельсовет</t>
  </si>
  <si>
    <t>38644408</t>
  </si>
  <si>
    <t>293</t>
  </si>
  <si>
    <t>Большежировский сельсовет</t>
  </si>
  <si>
    <t>38644412</t>
  </si>
  <si>
    <t>294</t>
  </si>
  <si>
    <t>Верхнелюбажский сельсовет</t>
  </si>
  <si>
    <t>38644416</t>
  </si>
  <si>
    <t>295</t>
  </si>
  <si>
    <t>Верхнехотемльский сельсовет</t>
  </si>
  <si>
    <t>38644420</t>
  </si>
  <si>
    <t>296</t>
  </si>
  <si>
    <t>Глебовский сельсовет</t>
  </si>
  <si>
    <t>38644424</t>
  </si>
  <si>
    <t>297</t>
  </si>
  <si>
    <t>Миленинский сельсовет</t>
  </si>
  <si>
    <t>38644444</t>
  </si>
  <si>
    <t>298</t>
  </si>
  <si>
    <t>Молотычевский сельсовет</t>
  </si>
  <si>
    <t>38644448</t>
  </si>
  <si>
    <t>299</t>
  </si>
  <si>
    <t>Русановский сельсовет</t>
  </si>
  <si>
    <t>38644464</t>
  </si>
  <si>
    <t>300</t>
  </si>
  <si>
    <t>38644468</t>
  </si>
  <si>
    <t>301</t>
  </si>
  <si>
    <t>302</t>
  </si>
  <si>
    <t>город Фатеж</t>
  </si>
  <si>
    <t>38644101</t>
  </si>
  <si>
    <t>303</t>
  </si>
  <si>
    <t>Хомутовский муниципальный район</t>
  </si>
  <si>
    <t>38646000</t>
  </si>
  <si>
    <t>Гламаздинский сельсовет</t>
  </si>
  <si>
    <t>38646412</t>
  </si>
  <si>
    <t>304</t>
  </si>
  <si>
    <t>Дубовицкий сельсовет</t>
  </si>
  <si>
    <t>38646416</t>
  </si>
  <si>
    <t>305</t>
  </si>
  <si>
    <t>Калиновский сельсовет</t>
  </si>
  <si>
    <t>38646420</t>
  </si>
  <si>
    <t>306</t>
  </si>
  <si>
    <t>Ольховский сельсовет</t>
  </si>
  <si>
    <t>38646448</t>
  </si>
  <si>
    <t>307</t>
  </si>
  <si>
    <t>Петровский сельсовет</t>
  </si>
  <si>
    <t>38646452</t>
  </si>
  <si>
    <t>308</t>
  </si>
  <si>
    <t>Романовский сельсовет</t>
  </si>
  <si>
    <t>38646464</t>
  </si>
  <si>
    <t>309</t>
  </si>
  <si>
    <t>Сальновский сельсовет</t>
  </si>
  <si>
    <t>38646468</t>
  </si>
  <si>
    <t>310</t>
  </si>
  <si>
    <t>Сковородневский сельсовет</t>
  </si>
  <si>
    <t>38646472</t>
  </si>
  <si>
    <t>311</t>
  </si>
  <si>
    <t>312</t>
  </si>
  <si>
    <t>поселок Хомутовка</t>
  </si>
  <si>
    <t>38646151</t>
  </si>
  <si>
    <t>313</t>
  </si>
  <si>
    <t>Черемисиновский муниципальный район</t>
  </si>
  <si>
    <t>38648000</t>
  </si>
  <si>
    <t>Краснополянский сельсовет</t>
  </si>
  <si>
    <t>38648406</t>
  </si>
  <si>
    <t>314</t>
  </si>
  <si>
    <t>38648412</t>
  </si>
  <si>
    <t>315</t>
  </si>
  <si>
    <t>Ниженский сельсовет</t>
  </si>
  <si>
    <t>38648416</t>
  </si>
  <si>
    <t>316</t>
  </si>
  <si>
    <t>38648427</t>
  </si>
  <si>
    <t>317</t>
  </si>
  <si>
    <t>Покровский сельсовет</t>
  </si>
  <si>
    <t>38648428</t>
  </si>
  <si>
    <t>318</t>
  </si>
  <si>
    <t>38648432</t>
  </si>
  <si>
    <t>319</t>
  </si>
  <si>
    <t>Стакановский сельсовет</t>
  </si>
  <si>
    <t>38648436</t>
  </si>
  <si>
    <t>320</t>
  </si>
  <si>
    <t>Удеревский сельсовет</t>
  </si>
  <si>
    <t>38648444</t>
  </si>
  <si>
    <t>321</t>
  </si>
  <si>
    <t>322</t>
  </si>
  <si>
    <t>поселок Черемисиново</t>
  </si>
  <si>
    <t>38648151</t>
  </si>
  <si>
    <t>323</t>
  </si>
  <si>
    <t>Щигровский муниципальный район</t>
  </si>
  <si>
    <t>38650000</t>
  </si>
  <si>
    <t>Большезмеинский сельсовет</t>
  </si>
  <si>
    <t>38650402</t>
  </si>
  <si>
    <t>324</t>
  </si>
  <si>
    <t>38650448</t>
  </si>
  <si>
    <t>325</t>
  </si>
  <si>
    <t>Вышнеольховатский сельсовет</t>
  </si>
  <si>
    <t>38650404</t>
  </si>
  <si>
    <t>326</t>
  </si>
  <si>
    <t>Вязовский сельсовет</t>
  </si>
  <si>
    <t>38650408</t>
  </si>
  <si>
    <t>327</t>
  </si>
  <si>
    <t>Защитенский сельсовет</t>
  </si>
  <si>
    <t>38650412</t>
  </si>
  <si>
    <t>328</t>
  </si>
  <si>
    <t>38650416</t>
  </si>
  <si>
    <t>329</t>
  </si>
  <si>
    <t>Касиновский сельсовет</t>
  </si>
  <si>
    <t>38650418</t>
  </si>
  <si>
    <t>330</t>
  </si>
  <si>
    <t>Косоржанский сельсовет</t>
  </si>
  <si>
    <t>38650420</t>
  </si>
  <si>
    <t>331</t>
  </si>
  <si>
    <t>Кривцовский сельсовет</t>
  </si>
  <si>
    <t>38650424</t>
  </si>
  <si>
    <t>332</t>
  </si>
  <si>
    <t>Крутовский сельсовет</t>
  </si>
  <si>
    <t>38650428</t>
  </si>
  <si>
    <t>333</t>
  </si>
  <si>
    <t>Мелехинский сельсовет</t>
  </si>
  <si>
    <t>38650432</t>
  </si>
  <si>
    <t>334</t>
  </si>
  <si>
    <t>38650436</t>
  </si>
  <si>
    <t>335</t>
  </si>
  <si>
    <t>Озерский сельсовет</t>
  </si>
  <si>
    <t>38650438</t>
  </si>
  <si>
    <t>336</t>
  </si>
  <si>
    <t>Охочевский сельсовет</t>
  </si>
  <si>
    <t>38650440</t>
  </si>
  <si>
    <t>337</t>
  </si>
  <si>
    <t>38650444</t>
  </si>
  <si>
    <t>338</t>
  </si>
  <si>
    <t>Теребужский сельсовет</t>
  </si>
  <si>
    <t>38650452</t>
  </si>
  <si>
    <t>339</t>
  </si>
  <si>
    <t>Титовский сельсовет</t>
  </si>
  <si>
    <t>38650456</t>
  </si>
  <si>
    <t>340</t>
  </si>
  <si>
    <t>Троицкокраснянский сельсовет</t>
  </si>
  <si>
    <t>38650460</t>
  </si>
  <si>
    <t>341</t>
  </si>
  <si>
    <t>342</t>
  </si>
  <si>
    <t>город Железногорск</t>
  </si>
  <si>
    <t>38705000</t>
  </si>
  <si>
    <t>городской округ</t>
  </si>
  <si>
    <t>343</t>
  </si>
  <si>
    <t>город Курск</t>
  </si>
  <si>
    <t>38701000</t>
  </si>
  <si>
    <t>344</t>
  </si>
  <si>
    <t>город Льгов</t>
  </si>
  <si>
    <t>38710000</t>
  </si>
  <si>
    <t>346</t>
  </si>
  <si>
    <t>город Щигры</t>
  </si>
  <si>
    <t>38715000</t>
  </si>
  <si>
    <t>347</t>
  </si>
  <si>
    <t>NUMBER_POINT</t>
  </si>
  <si>
    <t>INVP_NAME</t>
  </si>
  <si>
    <t>INVP_ID</t>
  </si>
  <si>
    <t>L_START_DATE</t>
  </si>
  <si>
    <t>L_END_DATE</t>
  </si>
  <si>
    <t>L_DECISION_NAME</t>
  </si>
  <si>
    <t>L_DECISION_TYPE</t>
  </si>
  <si>
    <t>L_DECISION_NMBR</t>
  </si>
  <si>
    <t>L_DECISION_DATE</t>
  </si>
  <si>
    <t>Инвестиционная программа № 109 от 30.05.2023 ООО"Теплосети п.Поныри" в сфере теплоснабжения по модернизации и реконструкции систем теплоснабжения, на территории городского поселения поселок Поныри, Поныровский муниципальный район на 2023-2026 годы</t>
  </si>
  <si>
    <t>30.05.2023</t>
  </si>
  <si>
    <t>31.12.2026</t>
  </si>
  <si>
    <t>Инвестиционная программа № 196 от 25.10.2023 МУП "Городские тепловые сети" МО "город Курчатов" в сфере теплоснабжения по реконструкции тепловых сетей, на территории городского округа Курчатов на 2024-2028 годы</t>
  </si>
  <si>
    <t>01.01.2024</t>
  </si>
  <si>
    <t>31.12.2028</t>
  </si>
  <si>
    <t>Инвестиционная программа № 49 от 27.03.2023 МУП "Гортеплосеть" в сфере теплоснабжения по модернизации объектов, на территории городского округа Курск на 2023-2025 годы</t>
  </si>
  <si>
    <t>27.03.2023</t>
  </si>
  <si>
    <t>31.12.2025</t>
  </si>
  <si>
    <t>Инвестиционная программа от 02.08.2022 МУП "Гортеплосеть" города Железногорска в сфере теплоснабжения по модернизации тепловых сетей, на территории городского округа Железногорск на 2023-2026 годы</t>
  </si>
  <si>
    <t>01.01.2023</t>
  </si>
  <si>
    <t>Инвестиционная программа от 25.06.2021 ООО "Обоянские Коммунальные Тепловые Сети" в сфере теплоснабжения и горячего водоснабжения по развитию и модернизации централизованных систем теплоснабжения, на территории городского поселения город Обоянь, Обоянский муниципальный район на 2021-2025 годы</t>
  </si>
  <si>
    <t>25.06.2021</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</si>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</sst>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757">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center"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70"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9" fillId="12" borderId="3" xfId="0" applyNumberFormat="1" applyFont="1" applyFill="1" applyBorder="1" applyAlignment="1" applyProtection="1">
      <alignment horizontal="left" vertical="center" wrapText="1"/>
      <protection locked="0"/>
    </xf>
    <xf numFmtId="0" fontId="11" fillId="0" borderId="0" xfId="0" applyNumberFormat="1" applyFont="1" applyAlignment="1"/>
    <xf numFmtId="0" fontId="5" fillId="0" borderId="0" xfId="13" applyNumberFormat="1" applyFont="1" applyAlignment="1">
      <alignment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29" fillId="0" borderId="10" xfId="13" applyNumberFormat="1" applyFont="1" applyBorder="1" applyAlignment="1">
      <alignment horizontal="center" vertical="center" wrapText="1"/>
    </xf>
    <xf numFmtId="49" fontId="29" fillId="0" borderId="0" xfId="13" applyNumberFormat="1" applyFont="1" applyAlignment="1">
      <alignment horizontal="center" vertical="center" wrapText="1"/>
    </xf>
    <xf numFmtId="0" fontId="28" fillId="0" borderId="0" xfId="13" applyNumberFormat="1" applyFont="1" applyAlignment="1">
      <alignment vertical="center" wrapText="1"/>
    </xf>
    <xf numFmtId="0" fontId="28"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1" fillId="8" borderId="0" xfId="13" applyNumberFormat="1" applyFont="1" applyFill="1" applyAlignment="1">
      <alignment horizontal="center" vertical="center" wrapText="1"/>
    </xf>
    <xf numFmtId="0" fontId="29" fillId="0" borderId="0" xfId="13" applyNumberFormat="1" applyFont="1" applyAlignment="1">
      <alignment vertical="center" wrapText="1"/>
    </xf>
    <xf numFmtId="0" fontId="62" fillId="8" borderId="10"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18"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29" fillId="0" borderId="6" xfId="13" applyNumberFormat="1" applyFont="1" applyBorder="1" applyAlignment="1">
      <alignment horizontal="center" vertical="center" wrapText="1"/>
    </xf>
    <xf numFmtId="49" fontId="5" fillId="10" borderId="18" xfId="13" applyNumberFormat="1" applyFont="1" applyFill="1" applyBorder="1" applyAlignment="1">
      <alignment horizontal="center" vertical="center" wrapText="1"/>
    </xf>
    <xf numFmtId="49" fontId="5" fillId="10" borderId="18"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0" xfId="13" applyNumberFormat="1" applyFont="1" applyAlignment="1">
      <alignment horizontal="left" vertical="top" wrapText="1"/>
    </xf>
    <xf numFmtId="0" fontId="5" fillId="13" borderId="4" xfId="13" applyNumberFormat="1" applyFont="1" applyFill="1" applyBorder="1" applyAlignment="1">
      <alignment horizontal="left" vertical="center" wrapText="1"/>
    </xf>
    <xf numFmtId="0" fontId="5" fillId="7" borderId="4" xfId="13" applyNumberFormat="1" applyFont="1" applyFill="1" applyBorder="1" applyAlignment="1">
      <alignment horizontal="left" vertical="center" wrapText="1"/>
    </xf>
    <xf numFmtId="0" fontId="5" fillId="0" borderId="3" xfId="13" applyNumberFormat="1" applyFont="1" applyBorder="1" applyAlignment="1">
      <alignment horizontal="center" vertical="center" wrapText="1"/>
    </xf>
    <xf numFmtId="49" fontId="5" fillId="13" borderId="3" xfId="13" applyNumberFormat="1" applyFont="1" applyFill="1" applyBorder="1" applyAlignment="1">
      <alignment horizontal="center" vertical="center" wrapText="1"/>
    </xf>
    <xf numFmtId="0" fontId="18" fillId="0" borderId="18" xfId="13" applyNumberFormat="1" applyFont="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29" fillId="0" borderId="4" xfId="13" applyNumberFormat="1" applyFont="1" applyBorder="1" applyAlignment="1">
      <alignment horizontal="left" vertical="center" wrapText="1"/>
    </xf>
    <xf numFmtId="0" fontId="5" fillId="13" borderId="11" xfId="0" applyNumberFormat="1" applyFont="1" applyFill="1" applyBorder="1" applyAlignment="1">
      <alignment horizontal="left" vertical="center" wrapText="1"/>
    </xf>
    <xf numFmtId="0" fontId="5" fillId="13" borderId="11" xfId="13" applyNumberFormat="1" applyFont="1" applyFill="1" applyBorder="1" applyAlignment="1">
      <alignment horizontal="left" vertical="center" wrapText="1"/>
    </xf>
    <xf numFmtId="0" fontId="29" fillId="0" borderId="0" xfId="0" applyNumberFormat="1" applyFont="1" applyAlignment="1">
      <alignmen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eplseti@list.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8b1972b8-82af-40b8-a62d-095516d1ae8f"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portal.eias.ru/Portal/DownloadPage.aspx?type=12&amp;guid=e9c0d7e0-0bb1-4d86-b143-156f3215f55e" TargetMode="External"/><Relationship Id="rId2" Type="http://schemas.openxmlformats.org/officeDocument/2006/relationships/hyperlink" Target="https://portal.eias.ru/Portal/DownloadPage.aspx?type=12&amp;guid=e9c0d7e0-0bb1-4d86-b143-156f3215f55e" TargetMode="External"/><Relationship Id="rId1" Type="http://schemas.openxmlformats.org/officeDocument/2006/relationships/hyperlink" Target="https://portal.eias.ru/Portal/DownloadPage.aspx?type=12&amp;guid=f718df77-1e05-4411-964e-3f14c9bc3267" TargetMode="External"/><Relationship Id="rId4"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70118-1759-6FBC-2856-F4472D6D4821}">
  <dimension ref="A1:AB21"/>
  <sheetViews>
    <sheetView showGridLines="0" showRowColHeaders="0" workbookViewId="0"/>
  </sheetViews>
  <sheetFormatPr defaultColWidth="11" defaultRowHeight="12.75" customHeight="1"/>
  <cols>
    <col min="1" max="1" width="5.42578125" style="2272" customWidth="1"/>
    <col min="2" max="2" width="9.140625" style="2272" customWidth="1"/>
    <col min="3" max="3" width="16.42578125" style="2272" customWidth="1"/>
    <col min="4" max="25" width="6.28515625" style="2272" customWidth="1"/>
    <col min="26" max="28" width="11" style="2272"/>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305" t="s">
        <v>1</v>
      </c>
      <c r="C2" s="2305"/>
      <c r="D2" s="2305"/>
      <c r="E2" s="2305"/>
      <c r="F2" s="2305"/>
      <c r="G2" s="2305"/>
      <c r="H2" s="2305"/>
      <c r="I2" s="2305"/>
      <c r="J2" s="2305"/>
      <c r="K2" s="2305"/>
      <c r="L2" s="2305"/>
      <c r="M2" s="2305"/>
      <c r="N2" s="2305"/>
      <c r="O2" s="2305"/>
      <c r="P2" s="2305"/>
      <c r="Q2" s="1631"/>
      <c r="R2" s="1631"/>
      <c r="S2" s="1631"/>
      <c r="T2" s="1631"/>
      <c r="U2" s="1631"/>
      <c r="V2" s="1632"/>
      <c r="W2" s="1631"/>
      <c r="X2" s="1631"/>
      <c r="Y2" s="1629"/>
      <c r="Z2" s="1628"/>
      <c r="AA2" s="1630"/>
      <c r="AB2" s="1628"/>
    </row>
    <row r="3" spans="1:28" ht="15.75" customHeight="1">
      <c r="A3" s="1628"/>
      <c r="B3" s="2306" t="s">
        <v>2</v>
      </c>
      <c r="C3" s="2306"/>
      <c r="D3" s="2306"/>
      <c r="E3" s="2306"/>
      <c r="F3" s="2306"/>
      <c r="G3" s="2306"/>
      <c r="H3" s="2306"/>
      <c r="I3" s="2306"/>
      <c r="J3" s="2306"/>
      <c r="K3" s="2306"/>
      <c r="L3" s="2306"/>
      <c r="M3" s="2306"/>
      <c r="N3" s="2306"/>
      <c r="O3" s="2306"/>
      <c r="P3" s="2306"/>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307"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08"/>
      <c r="D5" s="2308"/>
      <c r="E5" s="2308"/>
      <c r="F5" s="2308"/>
      <c r="G5" s="2308"/>
      <c r="H5" s="2308"/>
      <c r="I5" s="2308"/>
      <c r="J5" s="2308"/>
      <c r="K5" s="2308"/>
      <c r="L5" s="2308"/>
      <c r="M5" s="2308"/>
      <c r="N5" s="2308"/>
      <c r="O5" s="2308"/>
      <c r="P5" s="2308"/>
      <c r="Q5" s="2308"/>
      <c r="R5" s="2308"/>
      <c r="S5" s="2308"/>
      <c r="T5" s="2308"/>
      <c r="U5" s="2308"/>
      <c r="V5" s="2308"/>
      <c r="W5" s="2308"/>
      <c r="X5" s="2308"/>
      <c r="Y5" s="2309"/>
      <c r="Z5" s="1634"/>
      <c r="AA5" s="1630"/>
      <c r="AB5" s="1634"/>
    </row>
    <row r="6" spans="1:28" ht="15" customHeight="1">
      <c r="A6" s="1635"/>
      <c r="B6" s="2297" t="s">
        <v>3</v>
      </c>
      <c r="C6" s="2300"/>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297"/>
      <c r="C7" s="2300"/>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297"/>
      <c r="C8" s="2300"/>
      <c r="D8" s="1641"/>
      <c r="E8" s="1642" t="s">
        <v>4</v>
      </c>
      <c r="F8" s="2310" t="s">
        <v>5</v>
      </c>
      <c r="G8" s="2299"/>
      <c r="H8" s="2299"/>
      <c r="I8" s="2299"/>
      <c r="J8" s="2299"/>
      <c r="K8" s="2299"/>
      <c r="L8" s="2299"/>
      <c r="M8" s="2299"/>
      <c r="N8" s="1641"/>
      <c r="O8" s="1643" t="s">
        <v>4</v>
      </c>
      <c r="P8" s="2311" t="s">
        <v>6</v>
      </c>
      <c r="Q8" s="2312"/>
      <c r="R8" s="2312"/>
      <c r="S8" s="2312"/>
      <c r="T8" s="2312"/>
      <c r="U8" s="2312"/>
      <c r="V8" s="2312"/>
      <c r="W8" s="2312"/>
      <c r="X8" s="2312"/>
      <c r="Y8" s="1637"/>
      <c r="Z8" s="1638"/>
      <c r="AA8" s="1639"/>
      <c r="AB8" s="1639"/>
    </row>
    <row r="9" spans="1:28" ht="15" customHeight="1">
      <c r="A9" s="1635"/>
      <c r="B9" s="2297"/>
      <c r="C9" s="2300"/>
      <c r="D9" s="1641"/>
      <c r="E9" s="1644" t="s">
        <v>4</v>
      </c>
      <c r="F9" s="2310" t="s">
        <v>7</v>
      </c>
      <c r="G9" s="2299"/>
      <c r="H9" s="2299"/>
      <c r="I9" s="2299"/>
      <c r="J9" s="2299"/>
      <c r="K9" s="2299"/>
      <c r="L9" s="2299"/>
      <c r="M9" s="2299"/>
      <c r="N9" s="1641"/>
      <c r="O9" s="1645" t="s">
        <v>4</v>
      </c>
      <c r="P9" s="2311" t="s">
        <v>8</v>
      </c>
      <c r="Q9" s="2312"/>
      <c r="R9" s="2312"/>
      <c r="S9" s="2312"/>
      <c r="T9" s="2312"/>
      <c r="U9" s="2312"/>
      <c r="V9" s="2312"/>
      <c r="W9" s="2312"/>
      <c r="X9" s="2312"/>
      <c r="Y9" s="1637"/>
      <c r="Z9" s="1638"/>
      <c r="AA9" s="1639"/>
      <c r="AB9" s="1639"/>
    </row>
    <row r="10" spans="1:28" ht="30" customHeight="1">
      <c r="A10" s="1635"/>
      <c r="B10" s="2297"/>
      <c r="C10" s="2298"/>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296"/>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297"/>
      <c r="C12" s="2298"/>
      <c r="D12" s="1649"/>
      <c r="E12" s="2299" t="s">
        <v>10</v>
      </c>
      <c r="F12" s="2299"/>
      <c r="G12" s="2299"/>
      <c r="H12" s="2299"/>
      <c r="I12" s="2299"/>
      <c r="J12" s="2299"/>
      <c r="K12" s="2299"/>
      <c r="L12" s="2299"/>
      <c r="M12" s="2299"/>
      <c r="N12" s="2299"/>
      <c r="O12" s="2299"/>
      <c r="P12" s="2299"/>
      <c r="Q12" s="2299"/>
      <c r="R12" s="2299"/>
      <c r="S12" s="2299"/>
      <c r="T12" s="2299"/>
      <c r="U12" s="2299"/>
      <c r="V12" s="2299"/>
      <c r="W12" s="2299"/>
      <c r="X12" s="2299"/>
      <c r="Y12" s="1637"/>
      <c r="Z12" s="1638"/>
      <c r="AA12" s="1639"/>
      <c r="AB12" s="1639"/>
    </row>
    <row r="13" spans="1:28" ht="15" customHeight="1">
      <c r="A13" s="1635"/>
      <c r="B13" s="1" t="s">
        <v>11</v>
      </c>
      <c r="C13" s="2296"/>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297"/>
      <c r="C14" s="2300"/>
      <c r="D14" s="1641"/>
      <c r="E14" s="2303" t="s">
        <v>12</v>
      </c>
      <c r="F14" s="2303"/>
      <c r="G14" s="2303"/>
      <c r="H14" s="2303"/>
      <c r="I14" s="2303"/>
      <c r="J14" s="2303"/>
      <c r="K14" s="2303"/>
      <c r="L14" s="2303"/>
      <c r="M14" s="2303"/>
      <c r="N14" s="2303"/>
      <c r="O14" s="2303"/>
      <c r="P14" s="2303"/>
      <c r="Q14" s="2303"/>
      <c r="R14" s="2303"/>
      <c r="S14" s="2303"/>
      <c r="T14" s="2303"/>
      <c r="U14" s="2303"/>
      <c r="V14" s="2303"/>
      <c r="W14" s="2303"/>
      <c r="X14" s="2303"/>
      <c r="Y14" s="1637"/>
      <c r="Z14" s="1638"/>
      <c r="AA14" s="1639"/>
      <c r="AB14" s="1639"/>
    </row>
    <row r="15" spans="1:28" ht="16.5" customHeight="1">
      <c r="A15" s="1635"/>
      <c r="B15" s="2301"/>
      <c r="C15" s="2302"/>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303"/>
      <c r="C16" s="2304"/>
      <c r="D16" s="2304"/>
      <c r="E16" s="2304"/>
      <c r="F16" s="2304"/>
      <c r="G16" s="2304"/>
      <c r="H16" s="2304"/>
      <c r="I16" s="2304"/>
      <c r="J16" s="2304"/>
      <c r="K16" s="2304"/>
      <c r="L16" s="2304"/>
      <c r="M16" s="2304"/>
      <c r="N16" s="2304"/>
      <c r="O16" s="2304"/>
      <c r="P16" s="2304"/>
      <c r="Q16" s="2304"/>
      <c r="R16" s="2304"/>
      <c r="S16" s="2304"/>
      <c r="T16" s="2304"/>
      <c r="U16" s="2304"/>
      <c r="V16" s="2304"/>
      <c r="W16" s="2304"/>
      <c r="X16" s="2304"/>
      <c r="Y16" s="2304"/>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FAADB-4BC1-3B44-9977-B16881C06DA5}">
  <sheetPr>
    <tabColor rgb="FFCCCCFF"/>
  </sheetPr>
  <dimension ref="A1:Q79"/>
  <sheetViews>
    <sheetView showGridLines="0" topLeftCell="C1" zoomScale="90" workbookViewId="0">
      <selection activeCell="F71" sqref="F71"/>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PP110.OPEN.INFO.REQUEST.HEAT.EIAS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313"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14"/>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customHeight="1">
      <c r="A11" s="2316" t="s">
        <v>20</v>
      </c>
      <c r="D11" s="15"/>
      <c r="E11" s="1092" t="s">
        <v>21</v>
      </c>
      <c r="F11" s="1658">
        <v>46023</v>
      </c>
      <c r="G11" s="17"/>
      <c r="H11" s="705" t="s">
        <v>22</v>
      </c>
      <c r="J11" s="807" t="s">
        <v>23</v>
      </c>
      <c r="Q11" s="14">
        <v>0</v>
      </c>
    </row>
    <row r="12" spans="1:17" ht="22.5" customHeight="1">
      <c r="A12" s="2316"/>
      <c r="D12" s="15"/>
      <c r="E12" s="1092" t="s">
        <v>24</v>
      </c>
      <c r="F12" s="1658">
        <v>46387</v>
      </c>
      <c r="G12" s="13"/>
      <c r="J12" s="807" t="s">
        <v>25</v>
      </c>
      <c r="Q12" s="14">
        <v>0</v>
      </c>
    </row>
    <row r="13" spans="1:17" s="1562" customFormat="1" ht="22.5" hidden="1" customHeight="1">
      <c r="A13" s="719" t="s">
        <v>26</v>
      </c>
      <c r="B13" s="38"/>
      <c r="C13" s="345"/>
      <c r="D13" s="347"/>
      <c r="E13" s="1701" t="s">
        <v>27</v>
      </c>
      <c r="F13" s="1658" t="s">
        <v>28</v>
      </c>
      <c r="G13" s="17"/>
      <c r="H13" s="702"/>
      <c r="I13" s="348"/>
      <c r="J13" s="1702" t="s">
        <v>29</v>
      </c>
      <c r="Q13" s="346">
        <v>0</v>
      </c>
    </row>
    <row r="14" spans="1:17" s="1562" customFormat="1" ht="27" hidden="1" customHeight="1">
      <c r="A14" s="719" t="s">
        <v>30</v>
      </c>
      <c r="B14" s="38"/>
      <c r="C14" s="345"/>
      <c r="D14" s="347"/>
      <c r="E14" s="1092" t="s">
        <v>31</v>
      </c>
      <c r="F14" s="1693"/>
      <c r="G14" s="17"/>
      <c r="H14" s="702"/>
      <c r="I14" s="348"/>
      <c r="J14" s="807" t="s">
        <v>32</v>
      </c>
      <c r="Q14" s="346">
        <v>0</v>
      </c>
    </row>
    <row r="15" spans="1:17" s="1562" customFormat="1" ht="19.5" hidden="1" customHeight="1">
      <c r="A15" s="719" t="s">
        <v>33</v>
      </c>
      <c r="B15" s="38"/>
      <c r="C15" s="345"/>
      <c r="D15" s="347"/>
      <c r="E15" s="1092" t="s">
        <v>34</v>
      </c>
      <c r="F15" s="1693"/>
      <c r="G15" s="17"/>
      <c r="H15" s="702"/>
      <c r="I15" s="348"/>
      <c r="J15" s="807" t="s">
        <v>35</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36</v>
      </c>
      <c r="F17" s="2012" t="s">
        <v>37</v>
      </c>
      <c r="G17" s="13"/>
      <c r="H17" s="705" t="s">
        <v>22</v>
      </c>
      <c r="Q17" s="14">
        <v>20</v>
      </c>
    </row>
    <row r="18" spans="1:17" ht="25.5" customHeight="1">
      <c r="D18" s="15"/>
      <c r="E18" s="1701" t="s">
        <v>38</v>
      </c>
      <c r="F18" s="2027">
        <v>45775</v>
      </c>
      <c r="G18" s="13"/>
      <c r="I18" s="706"/>
      <c r="J18" s="2315" t="s">
        <v>39</v>
      </c>
      <c r="Q18" s="14">
        <v>0</v>
      </c>
    </row>
    <row r="19" spans="1:17" ht="25.5"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27">
        <v>46023</v>
      </c>
      <c r="G19" s="13"/>
      <c r="I19" s="706"/>
      <c r="J19" s="2315"/>
      <c r="Q19" s="14">
        <v>0</v>
      </c>
    </row>
    <row r="20" spans="1:17" ht="22.5"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40</v>
      </c>
      <c r="Q20" s="14">
        <v>0</v>
      </c>
    </row>
    <row r="21" spans="1:17" ht="19.5" customHeight="1">
      <c r="D21" s="15"/>
      <c r="E21" s="328" t="str">
        <f>"Дата "&amp;IF(TEMPLATE_GROUP="P","документа","подачи заявления")&amp;" об утверждении тарифов"</f>
        <v>Дата подачи заявления об утверждении тарифов</v>
      </c>
      <c r="F21" s="1658">
        <v>45043</v>
      </c>
      <c r="G21" s="13"/>
      <c r="I21" s="707"/>
      <c r="Q21" s="14">
        <v>0</v>
      </c>
    </row>
    <row r="22" spans="1:17" ht="19.5" customHeight="1">
      <c r="D22" s="15"/>
      <c r="E22" s="328" t="str">
        <f>"Номер "&amp;IF(TEMPLATE_GROUP="P","документа","подачи заявления")&amp;" об утверждении тарифов"</f>
        <v>Номер подачи заявления об утверждении тарифов</v>
      </c>
      <c r="F22" s="154" t="s">
        <v>41</v>
      </c>
      <c r="G22" s="13"/>
      <c r="I22" s="707"/>
      <c r="Q22" s="14">
        <v>0</v>
      </c>
    </row>
    <row r="23" spans="1:17" ht="22.5" hidden="1" customHeight="1">
      <c r="D23" s="15"/>
      <c r="E23" s="328" t="s">
        <v>42</v>
      </c>
      <c r="F23" s="154"/>
      <c r="G23" s="13"/>
      <c r="Q23" s="14">
        <v>0</v>
      </c>
    </row>
    <row r="24" spans="1:17" ht="19.5" hidden="1" customHeight="1">
      <c r="D24" s="15"/>
      <c r="E24" s="328" t="s">
        <v>43</v>
      </c>
      <c r="F24" s="154"/>
      <c r="G24" s="13"/>
      <c r="Q24" s="14">
        <v>0</v>
      </c>
    </row>
    <row r="25" spans="1:17" ht="22.5" customHeight="1">
      <c r="D25" s="15"/>
      <c r="E25" s="16"/>
      <c r="F25" s="208" t="str">
        <f>"Изменение "&amp;IF(TEMPLATE_GROUP="P","тарифов","предложения по тарифам")</f>
        <v>Изменение предложения по тарифам</v>
      </c>
      <c r="G25" s="13"/>
      <c r="J25" s="806" t="s">
        <v>44</v>
      </c>
      <c r="Q25" s="14">
        <v>0</v>
      </c>
    </row>
    <row r="26" spans="1:17" ht="19.5" customHeight="1">
      <c r="D26" s="15"/>
      <c r="E26" s="328" t="str">
        <f>"Дата "&amp;IF(TEMPLATE_GROUP="P","принятия решения","подачи заявления")&amp;" об изменении тарифов"</f>
        <v>Дата подачи заявления об изменении тарифов</v>
      </c>
      <c r="F26" s="2027">
        <v>45775</v>
      </c>
      <c r="G26" s="13"/>
      <c r="Q26" s="14">
        <v>0</v>
      </c>
    </row>
    <row r="27" spans="1:17" ht="19.5" customHeight="1">
      <c r="D27" s="15"/>
      <c r="E27" s="1092" t="str">
        <f>"Номер "&amp;IF(TEMPLATE_GROUP="P","принятия решения","заявления")&amp;" об изменении тарифов"</f>
        <v>Номер заявления об изменении тарифов</v>
      </c>
      <c r="F27" s="2028" t="s">
        <v>45</v>
      </c>
      <c r="G27" s="13"/>
      <c r="Q27" s="14">
        <v>0</v>
      </c>
    </row>
    <row r="28" spans="1:17" ht="24.75" hidden="1" customHeight="1">
      <c r="D28" s="15"/>
      <c r="E28" s="328" t="s">
        <v>46</v>
      </c>
      <c r="F28" s="156"/>
      <c r="G28" s="13"/>
      <c r="Q28" s="14">
        <v>0</v>
      </c>
    </row>
    <row r="29" spans="1:17" ht="19.5" hidden="1" customHeight="1">
      <c r="D29" s="15"/>
      <c r="E29" s="328" t="s">
        <v>43</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47</v>
      </c>
      <c r="G31" s="708"/>
      <c r="Q31" s="14">
        <v>20</v>
      </c>
    </row>
    <row r="32" spans="1:17" ht="21" hidden="1" customHeight="1">
      <c r="C32" s="18"/>
      <c r="D32" s="19"/>
      <c r="E32" s="329" t="s">
        <v>48</v>
      </c>
      <c r="F32" s="155"/>
      <c r="G32" s="708"/>
      <c r="Q32" s="14">
        <v>20</v>
      </c>
    </row>
    <row r="33" spans="1:17" ht="21" customHeight="1">
      <c r="C33" s="18"/>
      <c r="D33" s="19"/>
      <c r="E33" s="328" t="s">
        <v>49</v>
      </c>
      <c r="F33" s="155" t="s">
        <v>50</v>
      </c>
      <c r="G33" s="708"/>
      <c r="Q33" s="14">
        <v>20</v>
      </c>
    </row>
    <row r="34" spans="1:17" ht="21" customHeight="1">
      <c r="C34" s="18"/>
      <c r="D34" s="19"/>
      <c r="E34" s="328" t="s">
        <v>51</v>
      </c>
      <c r="F34" s="155" t="s">
        <v>52</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53</v>
      </c>
      <c r="F36" s="1137" t="s">
        <v>54</v>
      </c>
      <c r="G36" s="17"/>
      <c r="Q36" s="14">
        <v>0</v>
      </c>
    </row>
    <row r="37" spans="1:17" ht="21" customHeight="1">
      <c r="A37" s="810"/>
      <c r="D37" s="19"/>
      <c r="E37" s="328" t="s">
        <v>55</v>
      </c>
      <c r="F37" s="1137" t="s">
        <v>56</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57</v>
      </c>
      <c r="F39" s="647" t="s">
        <v>19</v>
      </c>
      <c r="G39" s="13"/>
      <c r="H39" s="705" t="s">
        <v>22</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58</v>
      </c>
      <c r="F43" s="647" t="s">
        <v>19</v>
      </c>
      <c r="G43" s="13"/>
      <c r="I43" s="348"/>
      <c r="J43" s="807"/>
      <c r="Q43" s="346">
        <v>0</v>
      </c>
    </row>
    <row r="44" spans="1:17" s="1562" customFormat="1" ht="27" hidden="1" customHeight="1">
      <c r="A44" s="715"/>
      <c r="B44" s="350"/>
      <c r="C44" s="345"/>
      <c r="D44" s="347"/>
      <c r="E44" s="1092" t="s">
        <v>59</v>
      </c>
      <c r="F44" s="1813"/>
      <c r="G44" s="13"/>
      <c r="I44" s="348"/>
      <c r="J44" s="807"/>
      <c r="Q44" s="346">
        <v>0</v>
      </c>
    </row>
    <row r="45" spans="1:17" s="1539" customFormat="1" ht="6" customHeight="1">
      <c r="A45" s="715"/>
      <c r="B45" s="363"/>
      <c r="C45" s="364"/>
      <c r="D45" s="365"/>
      <c r="E45" s="366"/>
      <c r="F45" s="983"/>
      <c r="G45" s="13"/>
      <c r="H45" s="346"/>
      <c r="I45" s="348"/>
      <c r="J45" s="807"/>
      <c r="Q45" s="367">
        <v>0</v>
      </c>
    </row>
    <row r="46" spans="1:17" s="1539" customFormat="1" ht="24.75" customHeight="1">
      <c r="A46" s="715"/>
      <c r="B46" s="363"/>
      <c r="C46" s="364"/>
      <c r="D46" s="365"/>
      <c r="E46" s="1092" t="s">
        <v>60</v>
      </c>
      <c r="F46" s="647" t="s">
        <v>19</v>
      </c>
      <c r="G46" s="13"/>
      <c r="H46" s="346"/>
      <c r="I46" s="348"/>
      <c r="J46" s="807"/>
      <c r="Q46" s="367">
        <v>0</v>
      </c>
    </row>
    <row r="47" spans="1:17" s="1562" customFormat="1" ht="24.75" customHeight="1">
      <c r="A47" s="715"/>
      <c r="B47" s="350"/>
      <c r="C47" s="345"/>
      <c r="D47" s="347"/>
      <c r="E47" s="1092" t="s">
        <v>61</v>
      </c>
      <c r="F47" s="647" t="s">
        <v>19</v>
      </c>
      <c r="G47" s="13"/>
      <c r="I47" s="348"/>
      <c r="J47" s="807"/>
      <c r="Q47" s="346">
        <v>0</v>
      </c>
    </row>
    <row r="48" spans="1:17" s="1539" customFormat="1" ht="6" hidden="1" customHeight="1">
      <c r="A48" s="715"/>
      <c r="B48" s="170"/>
      <c r="C48" s="171"/>
      <c r="D48" s="172"/>
      <c r="E48" s="173"/>
      <c r="F48" s="983"/>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62</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63</v>
      </c>
      <c r="F53" s="978" t="s">
        <v>19</v>
      </c>
      <c r="G53" s="469"/>
      <c r="I53" s="471"/>
      <c r="J53" s="809"/>
      <c r="P53" s="472"/>
      <c r="Q53" s="470">
        <v>0</v>
      </c>
    </row>
    <row r="54" spans="1:17" s="1562" customFormat="1" ht="27" hidden="1" customHeight="1">
      <c r="A54" s="717"/>
      <c r="B54" s="350"/>
      <c r="C54" s="467"/>
      <c r="D54" s="468"/>
      <c r="E54" s="328" t="s">
        <v>64</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65</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66</v>
      </c>
      <c r="F58" s="978" t="s">
        <v>67</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68</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69</v>
      </c>
      <c r="F62" s="1598" t="s">
        <v>67</v>
      </c>
      <c r="G62" s="13"/>
      <c r="H62" s="705" t="s">
        <v>22</v>
      </c>
      <c r="I62" s="348"/>
      <c r="J62" s="807"/>
      <c r="Q62" s="346">
        <v>0</v>
      </c>
    </row>
    <row r="63" spans="1:17" s="1539" customFormat="1" ht="6.4" customHeight="1">
      <c r="A63" s="716"/>
      <c r="B63" s="170"/>
      <c r="C63" s="171"/>
      <c r="D63" s="177"/>
      <c r="E63" s="175"/>
      <c r="F63" s="178"/>
      <c r="G63" s="17"/>
      <c r="H63" s="346"/>
      <c r="I63" s="348"/>
      <c r="J63" s="805"/>
      <c r="Q63" s="174">
        <v>6</v>
      </c>
    </row>
    <row r="64" spans="1:17" ht="21" customHeight="1">
      <c r="B64" s="39"/>
      <c r="D64" s="22"/>
      <c r="E64" s="328" t="s">
        <v>70</v>
      </c>
      <c r="F64" s="154" t="s">
        <v>71</v>
      </c>
      <c r="G64" s="17"/>
      <c r="Q64" s="14">
        <v>20</v>
      </c>
    </row>
    <row r="65" spans="1:17" ht="21" customHeight="1">
      <c r="B65" s="39"/>
      <c r="D65" s="22"/>
      <c r="E65" s="328" t="s">
        <v>72</v>
      </c>
      <c r="F65" s="154" t="s">
        <v>73</v>
      </c>
      <c r="G65" s="17"/>
      <c r="Q65" s="14">
        <v>20</v>
      </c>
    </row>
    <row r="66" spans="1:17" ht="36.75" customHeight="1">
      <c r="D66" s="15"/>
      <c r="E66" s="330" t="s">
        <v>74</v>
      </c>
      <c r="F66" s="984"/>
      <c r="G66" s="13"/>
      <c r="Q66" s="14">
        <v>35</v>
      </c>
    </row>
    <row r="67" spans="1:17" ht="21" customHeight="1">
      <c r="D67" s="347"/>
      <c r="E67" s="328" t="s">
        <v>75</v>
      </c>
      <c r="F67" s="209" t="s">
        <v>76</v>
      </c>
      <c r="G67" s="17"/>
      <c r="Q67" s="14">
        <v>20</v>
      </c>
    </row>
    <row r="68" spans="1:17" ht="21" customHeight="1">
      <c r="B68" s="39"/>
      <c r="D68" s="22"/>
      <c r="E68" s="328" t="s">
        <v>77</v>
      </c>
      <c r="F68" s="209" t="s">
        <v>78</v>
      </c>
      <c r="G68" s="17"/>
      <c r="Q68" s="14">
        <v>20</v>
      </c>
    </row>
    <row r="69" spans="1:17" ht="21" customHeight="1">
      <c r="B69" s="39"/>
      <c r="D69" s="22"/>
      <c r="E69" s="328" t="s">
        <v>79</v>
      </c>
      <c r="F69" s="209" t="s">
        <v>80</v>
      </c>
      <c r="G69" s="17"/>
      <c r="Q69" s="14">
        <v>20</v>
      </c>
    </row>
    <row r="70" spans="1:17" ht="21" customHeight="1">
      <c r="D70" s="347"/>
      <c r="E70" s="328" t="s">
        <v>81</v>
      </c>
      <c r="F70" s="2029" t="s">
        <v>82</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83</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69AB42F1-4098-CF71-D67D-A6AD4530789F}"/>
    <hyperlink ref="H17" location="Титульный!H9" tooltip="Помощь по работе с полями отчётной формы" display="Как заполнить?" xr:uid="{BD058538-74DA-1D9A-4407-695099D5BF47}"/>
    <hyperlink ref="H39" location="Титульный!H9" tooltip="Помощь по работе с полями отчётной формы" display="Как заполнить?" xr:uid="{ED72FA4A-A24A-8B84-19B6-A2844CC69F5C}"/>
    <hyperlink ref="H62" location="Титульный!H9" tooltip="Помощь по работе с полями отчётной формы" display="Как заполнить?" xr:uid="{BF9285B6-1225-FACD-6BAD-FD7004F1BBFA}"/>
    <hyperlink ref="F70" r:id="rId1" xr:uid="{587542AB-4CBD-DDEF-D269-20137797431D}"/>
  </hyperlinks>
  <pageMargins left="0.75" right="0.75" top="1" bottom="1" header="0.5" footer="0.5"/>
  <pageSetup paperSize="8" orientation="landscape"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5D459-66CD-A4FF-CA02-9D8F249FAB49}">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84</v>
      </c>
      <c r="H1" s="431" t="s">
        <v>85</v>
      </c>
      <c r="I1" s="165" t="s">
        <v>86</v>
      </c>
      <c r="J1" s="185" t="s">
        <v>84</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318" t="str">
        <f>NameTemplatesInListMO</f>
        <v>Перечень муниципальных районов и муниципальных образований (территорий действия тарифа)</v>
      </c>
      <c r="F4" s="2318"/>
      <c r="G4" s="2318"/>
      <c r="H4" s="2318"/>
      <c r="I4" s="2318"/>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314" t="s">
        <v>87</v>
      </c>
      <c r="F8" s="2319"/>
      <c r="G8" s="2313"/>
      <c r="H8" s="2320" t="s">
        <v>88</v>
      </c>
      <c r="I8" s="2320"/>
      <c r="J8" s="93"/>
      <c r="K8" s="93"/>
      <c r="L8" s="93"/>
      <c r="M8" s="93"/>
      <c r="N8" s="164"/>
      <c r="O8" s="93"/>
      <c r="P8" s="163"/>
      <c r="Q8" s="163"/>
      <c r="R8" s="163"/>
      <c r="S8" s="163"/>
      <c r="AC8" s="56">
        <v>14</v>
      </c>
    </row>
    <row r="9" spans="1:29" s="1745" customFormat="1" ht="21" customHeight="1">
      <c r="A9" s="693"/>
      <c r="B9" s="354"/>
      <c r="C9" s="693"/>
      <c r="D9" s="102"/>
      <c r="E9" s="709" t="s">
        <v>89</v>
      </c>
      <c r="F9" s="709"/>
      <c r="G9" s="110" t="s">
        <v>90</v>
      </c>
      <c r="H9" s="110" t="s">
        <v>90</v>
      </c>
      <c r="I9" s="110" t="s">
        <v>86</v>
      </c>
      <c r="J9" s="93"/>
      <c r="K9" s="93"/>
      <c r="L9" s="93"/>
      <c r="M9" s="93"/>
      <c r="N9" s="164"/>
      <c r="O9" s="93"/>
      <c r="P9" s="163"/>
      <c r="Q9" s="163"/>
      <c r="R9" s="163"/>
      <c r="S9" s="163"/>
      <c r="AC9" s="56">
        <v>20</v>
      </c>
    </row>
    <row r="10" spans="1:29" ht="11.45" customHeight="1">
      <c r="D10" s="114"/>
      <c r="E10" s="710" t="s">
        <v>91</v>
      </c>
      <c r="F10" s="710"/>
      <c r="G10" s="161" t="s">
        <v>92</v>
      </c>
      <c r="H10" s="161" t="s">
        <v>93</v>
      </c>
      <c r="I10" s="161" t="s">
        <v>94</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95</v>
      </c>
      <c r="K11" s="93"/>
      <c r="L11" s="93"/>
      <c r="M11" s="93" t="s">
        <v>96</v>
      </c>
      <c r="N11" s="164" t="s">
        <v>97</v>
      </c>
      <c r="O11" s="93" t="s">
        <v>98</v>
      </c>
      <c r="P11" s="163"/>
      <c r="Q11" s="163"/>
      <c r="R11" s="163"/>
      <c r="S11" s="163"/>
      <c r="AC11" s="56">
        <v>1</v>
      </c>
    </row>
    <row r="12" spans="1:29" s="1745" customFormat="1" ht="15" customHeight="1">
      <c r="A12" s="2317">
        <v>1</v>
      </c>
      <c r="B12" s="354"/>
      <c r="C12" s="693"/>
      <c r="D12" s="713"/>
      <c r="E12" s="157">
        <f>A12</f>
        <v>1</v>
      </c>
      <c r="F12" s="733" t="s">
        <v>99</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317"/>
      <c r="B13" s="354">
        <v>1</v>
      </c>
      <c r="C13" s="354"/>
      <c r="D13" s="731"/>
      <c r="E13" s="712" t="str">
        <f>A12&amp;"."&amp;B13</f>
        <v>1.1</v>
      </c>
      <c r="F13" s="726" t="s">
        <v>100</v>
      </c>
      <c r="G13" s="724" t="s">
        <v>101</v>
      </c>
      <c r="H13" s="724" t="s">
        <v>101</v>
      </c>
      <c r="I13" s="722" t="s">
        <v>102</v>
      </c>
      <c r="J13" s="437" t="e">
        <f ca="1">MERGEVALUE(G13)</f>
        <v>#NAME?</v>
      </c>
      <c r="K13" s="448"/>
      <c r="L13" s="448"/>
      <c r="M13" s="437" t="str">
        <f t="array" ref="M13">IF(ISERROR(MATCH(MID(N13,1,250),MID(note_ter,1,250),0)),"n","y")</f>
        <v>n</v>
      </c>
      <c r="N13" s="448"/>
      <c r="O13" s="437" t="str">
        <f>H13&amp;"("&amp;I13&amp;")"</f>
        <v>город Курчатов(38708000)</v>
      </c>
      <c r="P13" s="354"/>
      <c r="Q13" s="354"/>
      <c r="R13" s="357"/>
      <c r="S13" s="354"/>
      <c r="T13" s="354"/>
      <c r="U13" s="354"/>
      <c r="V13" s="359"/>
      <c r="W13" s="359"/>
      <c r="X13" s="356"/>
      <c r="Y13" s="356"/>
      <c r="Z13" s="356"/>
      <c r="AA13" s="356"/>
      <c r="AB13" s="356"/>
      <c r="AC13" s="360">
        <v>15</v>
      </c>
    </row>
    <row r="14" spans="1:29" s="1775" customFormat="1" ht="15.75" customHeight="1">
      <c r="A14" s="2317"/>
      <c r="B14" s="354"/>
      <c r="C14" s="349"/>
      <c r="D14" s="732"/>
      <c r="E14" s="358"/>
      <c r="F14" s="115"/>
      <c r="G14" s="352" t="s">
        <v>103</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104</v>
      </c>
      <c r="H15" s="116"/>
      <c r="I15" s="117"/>
      <c r="J15" s="187"/>
      <c r="K15" s="93"/>
      <c r="L15" s="93"/>
      <c r="M15" s="93"/>
      <c r="N15" s="164" t="s">
        <v>105</v>
      </c>
      <c r="O15" s="93"/>
      <c r="P15" s="163"/>
      <c r="Q15" s="163"/>
      <c r="R15" s="163"/>
      <c r="S15" s="163"/>
      <c r="AC15" s="56">
        <v>14</v>
      </c>
    </row>
    <row r="16" spans="1:29" s="1745"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5"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5"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83</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26E81-AB77-ECBD-BC26-22A521EEE9A6}">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32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326"/>
      <c r="F4" s="2326"/>
      <c r="G4" s="2326"/>
      <c r="H4" s="2326"/>
      <c r="I4" s="2327"/>
      <c r="J4" s="521"/>
      <c r="K4" s="521"/>
      <c r="L4" s="521"/>
      <c r="M4" s="521"/>
      <c r="AM4" s="520">
        <v>34</v>
      </c>
    </row>
    <row r="5" spans="1:39" s="526" customFormat="1" ht="14.65" customHeight="1">
      <c r="A5" s="522"/>
      <c r="B5" s="522"/>
      <c r="C5" s="522"/>
      <c r="D5" s="2328" t="str">
        <f>IF(org=0,"Не определено",org)</f>
        <v>МУП "Городские тепловые сети" МО  "город Курчатов"</v>
      </c>
      <c r="E5" s="2329"/>
      <c r="F5" s="2329"/>
      <c r="G5" s="2329"/>
      <c r="H5" s="2329"/>
      <c r="I5" s="2330"/>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317"/>
      <c r="B6" s="2317"/>
      <c r="C6" s="2317"/>
      <c r="D6" s="2317"/>
      <c r="E6" s="2317"/>
      <c r="F6" s="2317"/>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33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36"/>
      <c r="G7" s="2336"/>
      <c r="H7" s="2336"/>
      <c r="I7" s="2336"/>
      <c r="J7" s="2336"/>
      <c r="K7" s="2336"/>
      <c r="L7" s="2336"/>
      <c r="M7" s="2336"/>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331"/>
      <c r="B9" s="261"/>
      <c r="C9" s="261"/>
      <c r="D9" s="2332" t="s">
        <v>106</v>
      </c>
      <c r="E9" s="2332"/>
      <c r="F9" s="2333" t="s">
        <v>107</v>
      </c>
      <c r="G9" s="2334"/>
      <c r="H9" s="2334"/>
      <c r="I9" s="2334"/>
      <c r="J9" s="2337" t="s">
        <v>108</v>
      </c>
      <c r="K9" s="2337"/>
      <c r="L9" s="2337"/>
      <c r="M9" s="2337"/>
      <c r="AM9" s="520">
        <v>18</v>
      </c>
    </row>
    <row r="10" spans="1:39" ht="24" customHeight="1">
      <c r="A10" s="2331"/>
      <c r="B10" s="529"/>
      <c r="C10" s="462"/>
      <c r="D10" s="460" t="s">
        <v>89</v>
      </c>
      <c r="E10" s="460" t="s">
        <v>90</v>
      </c>
      <c r="F10" s="460" t="s">
        <v>109</v>
      </c>
      <c r="G10" s="2338" t="s">
        <v>89</v>
      </c>
      <c r="H10" s="2339"/>
      <c r="I10" s="460" t="s">
        <v>90</v>
      </c>
      <c r="J10" s="460" t="s">
        <v>109</v>
      </c>
      <c r="K10" s="2338" t="s">
        <v>89</v>
      </c>
      <c r="L10" s="2339"/>
      <c r="M10" s="460" t="s">
        <v>90</v>
      </c>
      <c r="N10" s="1554"/>
      <c r="AM10" s="520">
        <v>23</v>
      </c>
    </row>
    <row r="11" spans="1:39" s="1778" customFormat="1" ht="11.25" hidden="1" customHeight="1">
      <c r="A11" s="530"/>
      <c r="B11" s="530"/>
      <c r="C11" s="530"/>
      <c r="D11" s="531" t="s">
        <v>110</v>
      </c>
      <c r="E11" s="531" t="s">
        <v>111</v>
      </c>
      <c r="F11" s="531" t="s">
        <v>91</v>
      </c>
      <c r="G11" s="2321" t="s">
        <v>92</v>
      </c>
      <c r="H11" s="2322"/>
      <c r="I11" s="531" t="s">
        <v>112</v>
      </c>
      <c r="J11" s="531" t="s">
        <v>93</v>
      </c>
      <c r="K11" s="2323" t="s">
        <v>94</v>
      </c>
      <c r="L11" s="2324"/>
      <c r="M11" s="531" t="s">
        <v>113</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114</v>
      </c>
      <c r="P12" s="1340" t="s">
        <v>115</v>
      </c>
      <c r="Q12" s="1340" t="s">
        <v>116</v>
      </c>
      <c r="R12" s="1340" t="s">
        <v>117</v>
      </c>
      <c r="AM12" s="520">
        <v>1</v>
      </c>
    </row>
    <row r="13" spans="1:39" s="1778" customFormat="1" ht="15.75" customHeight="1">
      <c r="A13" s="231"/>
      <c r="B13" s="231"/>
      <c r="C13" s="463"/>
      <c r="D13" s="2343" t="s">
        <v>110</v>
      </c>
      <c r="E13" s="2344"/>
      <c r="F13" s="2347" t="s">
        <v>67</v>
      </c>
      <c r="G13" s="2348"/>
      <c r="H13" s="2349">
        <v>1</v>
      </c>
      <c r="I13" s="2340" t="str">
        <f>IF(U13="","",INDEX(TERRITORY_MR_LIST,MATCH(U13,TERRITORY_LIST_ID,0)))</f>
        <v/>
      </c>
      <c r="J13" s="2342" t="s">
        <v>19</v>
      </c>
      <c r="K13" s="539"/>
      <c r="L13" s="464" t="s">
        <v>110</v>
      </c>
      <c r="M13" s="540" t="s">
        <v>28</v>
      </c>
      <c r="N13" s="743"/>
      <c r="O13" s="1343" t="s">
        <v>118</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119</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343"/>
      <c r="E14" s="2345"/>
      <c r="F14" s="2342"/>
      <c r="G14" s="2348"/>
      <c r="H14" s="2349"/>
      <c r="I14" s="2341"/>
      <c r="J14" s="2342"/>
      <c r="K14" s="358"/>
      <c r="L14" s="115"/>
      <c r="M14" s="544" t="s">
        <v>120</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343"/>
      <c r="E15" s="2346"/>
      <c r="F15" s="2342"/>
      <c r="G15" s="990"/>
      <c r="H15" s="991"/>
      <c r="I15" s="517" t="s">
        <v>121</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122</v>
      </c>
      <c r="F16" s="115"/>
      <c r="G16" s="115"/>
      <c r="H16" s="115"/>
      <c r="I16" s="115"/>
      <c r="J16" s="115"/>
      <c r="K16" s="115" t="s">
        <v>28</v>
      </c>
      <c r="L16" s="115"/>
      <c r="M16" s="545"/>
      <c r="N16" s="1554"/>
      <c r="AM16" s="520">
        <v>15</v>
      </c>
    </row>
    <row r="17" spans="1:39" ht="11.25" hidden="1" customHeight="1">
      <c r="A17" s="520" t="s">
        <v>83</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4694E-7DF1-0649-51DE-2F0679BB9526}">
  <sheetPr>
    <tabColor rgb="FFCCCCFF"/>
  </sheetPr>
  <dimension ref="A1:AR146"/>
  <sheetViews>
    <sheetView showGridLines="0" zoomScale="90" workbookViewId="0">
      <pane xSplit="6" ySplit="12" topLeftCell="H17" activePane="bottomRight" state="frozen"/>
      <selection pane="topRight" activeCell="G1" sqref="G1"/>
      <selection pane="bottomLeft" activeCell="A13" sqref="A13"/>
      <selection pane="bottomRight" activeCell="N33" sqref="N33:N35"/>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3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85"/>
      <c r="F5" s="2385"/>
      <c r="G5" s="2385"/>
      <c r="H5" s="2385"/>
      <c r="I5" s="2385"/>
      <c r="J5" s="2386"/>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390" t="str">
        <f>IF(org=0,"Не определено",org)</f>
        <v>МУП "Городские тепловые сети" МО  "город Курчатов"</v>
      </c>
      <c r="E6" s="2390"/>
      <c r="F6" s="2390"/>
      <c r="G6" s="2390"/>
      <c r="H6" s="2390"/>
      <c r="I6" s="2390"/>
      <c r="J6" s="2390"/>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387"/>
      <c r="E7" s="2388"/>
      <c r="F7" s="2388"/>
      <c r="G7" s="2388"/>
      <c r="H7" s="2388"/>
      <c r="I7" s="2388"/>
      <c r="J7" s="2389"/>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332" t="s">
        <v>89</v>
      </c>
      <c r="E9" s="2314" t="s">
        <v>123</v>
      </c>
      <c r="F9" s="2313"/>
      <c r="G9" s="2332" t="s">
        <v>106</v>
      </c>
      <c r="H9" s="2332" t="s">
        <v>89</v>
      </c>
      <c r="I9" s="2332"/>
      <c r="J9" s="2332" t="s">
        <v>124</v>
      </c>
      <c r="K9" s="2391" t="s">
        <v>125</v>
      </c>
      <c r="L9" s="2391"/>
      <c r="M9" s="2391"/>
      <c r="N9" s="2391"/>
      <c r="O9" s="2391" t="s">
        <v>126</v>
      </c>
      <c r="P9" s="2391"/>
      <c r="Q9" s="2391"/>
      <c r="R9" s="2391"/>
      <c r="S9" s="2391" t="s">
        <v>127</v>
      </c>
      <c r="T9" s="2391"/>
      <c r="U9" s="2391"/>
      <c r="V9" s="2391"/>
      <c r="W9" s="2332" t="s">
        <v>128</v>
      </c>
      <c r="AR9" s="44">
        <v>27</v>
      </c>
    </row>
    <row r="10" spans="1:44" ht="31.5" customHeight="1">
      <c r="D10" s="2332"/>
      <c r="E10" s="1211" t="s">
        <v>90</v>
      </c>
      <c r="F10" s="1211" t="s">
        <v>129</v>
      </c>
      <c r="G10" s="2332"/>
      <c r="H10" s="2332"/>
      <c r="I10" s="2332"/>
      <c r="J10" s="2332"/>
      <c r="K10" s="50" t="s">
        <v>109</v>
      </c>
      <c r="L10" s="2332" t="s">
        <v>89</v>
      </c>
      <c r="M10" s="2332"/>
      <c r="N10" s="50" t="s">
        <v>130</v>
      </c>
      <c r="O10" s="50" t="s">
        <v>109</v>
      </c>
      <c r="P10" s="2332" t="s">
        <v>89</v>
      </c>
      <c r="Q10" s="2332"/>
      <c r="R10" s="50" t="s">
        <v>130</v>
      </c>
      <c r="S10" s="221" t="s">
        <v>109</v>
      </c>
      <c r="T10" s="2332" t="s">
        <v>89</v>
      </c>
      <c r="U10" s="2332"/>
      <c r="V10" s="221" t="s">
        <v>90</v>
      </c>
      <c r="W10" s="2332"/>
      <c r="Z10" s="1186" t="s">
        <v>131</v>
      </c>
      <c r="AA10" s="1186" t="s">
        <v>132</v>
      </c>
      <c r="AB10" s="1186" t="s">
        <v>133</v>
      </c>
      <c r="AC10" s="1186" t="s">
        <v>134</v>
      </c>
      <c r="AD10" s="1186" t="s">
        <v>135</v>
      </c>
      <c r="AE10" s="1186" t="s">
        <v>136</v>
      </c>
      <c r="AF10" s="1186" t="s">
        <v>137</v>
      </c>
      <c r="AG10" s="1186" t="s">
        <v>138</v>
      </c>
      <c r="AH10" s="1186" t="s">
        <v>139</v>
      </c>
      <c r="AI10" s="1186" t="s">
        <v>140</v>
      </c>
      <c r="AJ10" s="1186" t="s">
        <v>141</v>
      </c>
      <c r="AK10" s="1186" t="s">
        <v>142</v>
      </c>
      <c r="AL10" s="1186" t="s">
        <v>143</v>
      </c>
      <c r="AM10" s="1186" t="s">
        <v>144</v>
      </c>
      <c r="AN10" s="1186" t="s">
        <v>145</v>
      </c>
      <c r="AO10" s="1186" t="s">
        <v>146</v>
      </c>
      <c r="AP10" s="1186" t="s">
        <v>147</v>
      </c>
      <c r="AQ10" s="1186" t="s">
        <v>148</v>
      </c>
      <c r="AR10" s="44">
        <v>30</v>
      </c>
    </row>
    <row r="11" spans="1:44" s="1551" customFormat="1" ht="12" hidden="1" customHeight="1">
      <c r="D11" s="1176" t="s">
        <v>110</v>
      </c>
      <c r="E11" s="1176" t="s">
        <v>111</v>
      </c>
      <c r="F11" s="1176"/>
      <c r="G11" s="1176" t="s">
        <v>91</v>
      </c>
      <c r="H11" s="2383" t="s">
        <v>112</v>
      </c>
      <c r="I11" s="2383"/>
      <c r="J11" s="1176" t="s">
        <v>93</v>
      </c>
      <c r="K11" s="1176" t="s">
        <v>94</v>
      </c>
      <c r="L11" s="2383" t="s">
        <v>113</v>
      </c>
      <c r="M11" s="2383"/>
      <c r="N11" s="1176" t="s">
        <v>149</v>
      </c>
      <c r="O11" s="1176" t="s">
        <v>150</v>
      </c>
      <c r="P11" s="2383" t="s">
        <v>151</v>
      </c>
      <c r="Q11" s="2383"/>
      <c r="R11" s="1176" t="s">
        <v>152</v>
      </c>
      <c r="S11" s="1176" t="s">
        <v>151</v>
      </c>
      <c r="T11" s="2383" t="s">
        <v>152</v>
      </c>
      <c r="U11" s="2383"/>
      <c r="V11" s="1176" t="s">
        <v>153</v>
      </c>
      <c r="W11" s="1176" t="s">
        <v>154</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customHeight="1">
      <c r="A13" s="259"/>
      <c r="C13" s="147"/>
      <c r="D13" s="2365">
        <v>1</v>
      </c>
      <c r="E13" s="2354" t="s">
        <v>155</v>
      </c>
      <c r="F13" s="2367" t="s">
        <v>19</v>
      </c>
      <c r="G13" s="2354"/>
      <c r="H13" s="2356"/>
      <c r="I13" s="2358"/>
      <c r="J13" s="2360"/>
      <c r="K13" s="2352"/>
      <c r="L13" s="2352"/>
      <c r="M13" s="2352"/>
      <c r="N13" s="2363"/>
      <c r="O13" s="2352"/>
      <c r="P13" s="2352"/>
      <c r="Q13" s="2352"/>
      <c r="R13" s="2350"/>
      <c r="S13" s="2352"/>
      <c r="T13" s="1347"/>
      <c r="U13" s="1347"/>
      <c r="V13" s="1346"/>
      <c r="W13" s="1223"/>
      <c r="Y13" s="1194"/>
      <c r="Z13" s="1194"/>
      <c r="AA13" s="1194"/>
      <c r="AB13" s="1194"/>
      <c r="AC13" s="1194" t="s">
        <v>156</v>
      </c>
      <c r="AD13" s="1194" t="s">
        <v>157</v>
      </c>
      <c r="AE13" s="1194" t="s">
        <v>158</v>
      </c>
      <c r="AF13" s="1194" t="s">
        <v>159</v>
      </c>
      <c r="AG13" s="1194" t="s">
        <v>160</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customHeight="1">
      <c r="A14" s="259"/>
      <c r="C14" s="258"/>
      <c r="D14" s="2365"/>
      <c r="E14" s="2354"/>
      <c r="F14" s="2368"/>
      <c r="G14" s="2354"/>
      <c r="H14" s="2357"/>
      <c r="I14" s="2359"/>
      <c r="J14" s="2361"/>
      <c r="K14" s="2353"/>
      <c r="L14" s="2353"/>
      <c r="M14" s="2353"/>
      <c r="N14" s="2364"/>
      <c r="O14" s="2353"/>
      <c r="P14" s="2353"/>
      <c r="Q14" s="2353"/>
      <c r="R14" s="2351"/>
      <c r="S14" s="2353"/>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customHeight="1">
      <c r="A15" s="259"/>
      <c r="C15" s="147"/>
      <c r="D15" s="2365"/>
      <c r="E15" s="2354"/>
      <c r="F15" s="2368"/>
      <c r="G15" s="2354"/>
      <c r="H15" s="2357"/>
      <c r="I15" s="2359"/>
      <c r="J15" s="2362"/>
      <c r="K15" s="2353"/>
      <c r="L15" s="2353"/>
      <c r="M15" s="2353"/>
      <c r="N15" s="2351"/>
      <c r="O15" s="2353"/>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customHeight="1">
      <c r="A16" s="259"/>
      <c r="C16" s="258"/>
      <c r="D16" s="2365"/>
      <c r="E16" s="2354"/>
      <c r="F16" s="2368"/>
      <c r="G16" s="2354"/>
      <c r="H16" s="2357"/>
      <c r="I16" s="2359"/>
      <c r="J16" s="2362"/>
      <c r="K16" s="2353"/>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customHeight="1">
      <c r="A17" s="259"/>
      <c r="C17" s="258"/>
      <c r="D17" s="2366"/>
      <c r="E17" s="2355"/>
      <c r="F17" s="2369"/>
      <c r="G17" s="2355"/>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customHeight="1">
      <c r="A18" s="259"/>
      <c r="C18" s="147"/>
      <c r="D18" s="2365">
        <v>2</v>
      </c>
      <c r="E18" s="2381" t="s">
        <v>161</v>
      </c>
      <c r="F18" s="2367" t="s">
        <v>67</v>
      </c>
      <c r="G18" s="2373" t="str">
        <f>INDEX(VD_NAME_LIST,MATCH("4190068",VD_ID_LIST,0))&amp;"; "&amp;INDEX(VD_NAME_LIST,MATCH("4190070",VD_ID_LIST,0))</f>
        <v>Передача. Тепловая энергия; Сбыт. Тепловая энергия</v>
      </c>
      <c r="H18" s="2399"/>
      <c r="I18" s="2399">
        <v>1</v>
      </c>
      <c r="J18" s="2397" t="s">
        <v>162</v>
      </c>
      <c r="K18" s="2392" t="s">
        <v>67</v>
      </c>
      <c r="L18" s="2343"/>
      <c r="M18" s="2343" t="s">
        <v>110</v>
      </c>
      <c r="N18" s="2395" t="str">
        <f>IF(Z18="","",INDEX(TERRITORY_MR_LIST,MATCH(Z18,TERRITORY_LIST_ID,0)))</f>
        <v>Территория 1</v>
      </c>
      <c r="O18" s="2392" t="s">
        <v>19</v>
      </c>
      <c r="P18" s="2343"/>
      <c r="Q18" s="2343" t="s">
        <v>110</v>
      </c>
      <c r="R18" s="2394" t="s">
        <v>28</v>
      </c>
      <c r="S18" s="2342" t="s">
        <v>19</v>
      </c>
      <c r="T18" s="1999"/>
      <c r="U18" s="1999" t="s">
        <v>110</v>
      </c>
      <c r="V18" s="2030" t="s">
        <v>28</v>
      </c>
      <c r="W18" s="2010"/>
      <c r="X18" s="1194"/>
      <c r="Y18" s="1194"/>
      <c r="Z18" s="1194" t="s">
        <v>99</v>
      </c>
      <c r="AA18" s="1194"/>
      <c r="AB18" s="1194" t="s">
        <v>163</v>
      </c>
      <c r="AC18" s="1194" t="s">
        <v>164</v>
      </c>
      <c r="AD18" s="1194" t="s">
        <v>165</v>
      </c>
      <c r="AE18" s="1194" t="s">
        <v>166</v>
      </c>
      <c r="AF18" s="1194" t="s">
        <v>167</v>
      </c>
      <c r="AG18" s="1194" t="s">
        <v>168</v>
      </c>
      <c r="AH18" s="11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4" t="str">
        <f>IF($G$18=0,"",$G$18)</f>
        <v>Передача. Тепловая энергия; Сбыт. Тепловая энергия</v>
      </c>
      <c r="AJ18" s="1194" t="str">
        <f>IF($J$18=0,"",$J$18)</f>
        <v>Тариф на тепловую энергию (мощность), поставляемую потребителям</v>
      </c>
      <c r="AK18" s="1194" t="str">
        <f>IF($K$18="нет","без дифференциации",IF($N$18=0,"",$N$18))</f>
        <v>Территория 1</v>
      </c>
      <c r="AL18" s="1194" t="str">
        <f>IF($O$18="нет","без дифференциации",IF($R$18=0,"",$R$18))</f>
        <v>без дифференциации</v>
      </c>
      <c r="AM18" s="1194" t="str">
        <f>IF($S$18="нет","без дифференциации",IF($V$18=0,"",$V$18))</f>
        <v>без дифференциации</v>
      </c>
      <c r="AN18" s="1698">
        <f>$I$18</f>
        <v>1</v>
      </c>
      <c r="AO18" s="1194" t="str">
        <f>$I$18&amp;"."&amp;$M$18</f>
        <v>1.1</v>
      </c>
      <c r="AP18" s="1186" t="str">
        <f>$I$18&amp;"."&amp;$M$18&amp;"."&amp;$Q$18</f>
        <v>1.1.1</v>
      </c>
      <c r="AQ18" s="1186" t="str">
        <f>$I$18&amp;"."&amp;$M$18&amp;"."&amp;$Q$18&amp;"."&amp;$U$18</f>
        <v>1.1.1.1</v>
      </c>
      <c r="AR18" s="1210">
        <v>0</v>
      </c>
    </row>
    <row r="19" spans="1:44" s="1778" customFormat="1" ht="17.25" customHeight="1">
      <c r="A19" s="259"/>
      <c r="C19" s="258"/>
      <c r="D19" s="2365"/>
      <c r="E19" s="2381"/>
      <c r="F19" s="2368"/>
      <c r="G19" s="2373"/>
      <c r="H19" s="2399"/>
      <c r="I19" s="2399"/>
      <c r="J19" s="2397"/>
      <c r="K19" s="2393"/>
      <c r="L19" s="2343"/>
      <c r="M19" s="2343"/>
      <c r="N19" s="2395"/>
      <c r="O19" s="2393"/>
      <c r="P19" s="2343"/>
      <c r="Q19" s="2343"/>
      <c r="R19" s="2394" t="s">
        <v>28</v>
      </c>
      <c r="S19" s="2342"/>
      <c r="T19" s="2031"/>
      <c r="U19" s="2032"/>
      <c r="V19" s="2033" t="s">
        <v>169</v>
      </c>
      <c r="W19" s="2034"/>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customHeight="1">
      <c r="A20" s="259"/>
      <c r="C20" s="258"/>
      <c r="D20" s="2366"/>
      <c r="E20" s="2382"/>
      <c r="F20" s="2368"/>
      <c r="G20" s="2374"/>
      <c r="H20" s="2366"/>
      <c r="I20" s="2366"/>
      <c r="J20" s="2398"/>
      <c r="K20" s="2393"/>
      <c r="L20" s="2366"/>
      <c r="M20" s="2366"/>
      <c r="N20" s="2396"/>
      <c r="O20" s="2347"/>
      <c r="P20" s="2035"/>
      <c r="Q20" s="2036"/>
      <c r="R20" s="2037" t="s">
        <v>170</v>
      </c>
      <c r="S20" s="2038"/>
      <c r="T20" s="2039"/>
      <c r="U20" s="2040"/>
      <c r="V20" s="2041"/>
      <c r="W20" s="2042"/>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customHeight="1">
      <c r="A21" s="259"/>
      <c r="C21" s="258"/>
      <c r="D21" s="2366"/>
      <c r="E21" s="2382"/>
      <c r="F21" s="2368"/>
      <c r="G21" s="2374"/>
      <c r="H21" s="2366"/>
      <c r="I21" s="2366"/>
      <c r="J21" s="2398"/>
      <c r="K21" s="2347"/>
      <c r="L21" s="2043"/>
      <c r="M21" s="2044"/>
      <c r="N21" s="2045" t="s">
        <v>171</v>
      </c>
      <c r="O21" s="2046"/>
      <c r="P21" s="2047"/>
      <c r="Q21" s="2048"/>
      <c r="R21" s="2049"/>
      <c r="S21" s="2050"/>
      <c r="T21" s="2051"/>
      <c r="U21" s="2052"/>
      <c r="V21" s="2053"/>
      <c r="W21" s="2054"/>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customHeight="1">
      <c r="A22" s="259"/>
      <c r="C22" s="258"/>
      <c r="D22" s="2366"/>
      <c r="E22" s="2382"/>
      <c r="F22" s="2369"/>
      <c r="G22" s="2374"/>
      <c r="H22" s="2055"/>
      <c r="I22" s="2056"/>
      <c r="J22" s="2057" t="s">
        <v>172</v>
      </c>
      <c r="K22" s="2058"/>
      <c r="L22" s="2059"/>
      <c r="M22" s="2060"/>
      <c r="N22" s="2061"/>
      <c r="O22" s="2062"/>
      <c r="P22" s="2063"/>
      <c r="Q22" s="2064"/>
      <c r="R22" s="2065"/>
      <c r="S22" s="2066"/>
      <c r="T22" s="2067"/>
      <c r="U22" s="2068"/>
      <c r="V22" s="2069"/>
      <c r="W22" s="2070"/>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365">
        <v>2</v>
      </c>
      <c r="E23" s="2354" t="s">
        <v>161</v>
      </c>
      <c r="F23" s="2367" t="s">
        <v>19</v>
      </c>
      <c r="G23" s="2354"/>
      <c r="H23" s="2356"/>
      <c r="I23" s="2358"/>
      <c r="J23" s="2360"/>
      <c r="K23" s="2352"/>
      <c r="L23" s="2352"/>
      <c r="M23" s="2352"/>
      <c r="N23" s="2363"/>
      <c r="O23" s="2352"/>
      <c r="P23" s="2352"/>
      <c r="Q23" s="2352"/>
      <c r="R23" s="2350"/>
      <c r="S23" s="2352"/>
      <c r="T23" s="1920"/>
      <c r="U23" s="1920"/>
      <c r="V23" s="1922"/>
      <c r="W23" s="1223"/>
      <c r="X23" s="1194"/>
      <c r="Y23" s="1194"/>
      <c r="Z23" s="1194" t="s">
        <v>28</v>
      </c>
      <c r="AA23" s="1194" t="s">
        <v>28</v>
      </c>
      <c r="AB23" s="1194" t="s">
        <v>28</v>
      </c>
      <c r="AC23" s="1194" t="s">
        <v>28</v>
      </c>
      <c r="AD23" s="1194" t="s">
        <v>28</v>
      </c>
      <c r="AE23" s="1194" t="s">
        <v>28</v>
      </c>
      <c r="AF23" s="1194" t="s">
        <v>28</v>
      </c>
      <c r="AG23" s="1194" t="s">
        <v>28</v>
      </c>
      <c r="AH23" s="1194" t="s">
        <v>28</v>
      </c>
      <c r="AI23" s="1194" t="s">
        <v>28</v>
      </c>
      <c r="AJ23" s="1194" t="s">
        <v>28</v>
      </c>
      <c r="AK23" s="1194" t="s">
        <v>28</v>
      </c>
      <c r="AL23" s="1194" t="s">
        <v>28</v>
      </c>
      <c r="AM23" s="1194" t="s">
        <v>28</v>
      </c>
      <c r="AN23" s="1698" t="s">
        <v>28</v>
      </c>
      <c r="AO23" s="1194" t="s">
        <v>28</v>
      </c>
      <c r="AP23" s="1193" t="s">
        <v>28</v>
      </c>
      <c r="AQ23" s="1193" t="s">
        <v>28</v>
      </c>
      <c r="AR23" s="1394">
        <v>0</v>
      </c>
    </row>
    <row r="24" spans="1:44" s="1778" customFormat="1" ht="17.25" hidden="1" customHeight="1">
      <c r="A24" s="259"/>
      <c r="C24" s="258"/>
      <c r="D24" s="2365"/>
      <c r="E24" s="2354"/>
      <c r="F24" s="2368"/>
      <c r="G24" s="2354"/>
      <c r="H24" s="2357"/>
      <c r="I24" s="2359"/>
      <c r="J24" s="2361"/>
      <c r="K24" s="2353"/>
      <c r="L24" s="2353"/>
      <c r="M24" s="2353"/>
      <c r="N24" s="2364"/>
      <c r="O24" s="2353"/>
      <c r="P24" s="2353"/>
      <c r="Q24" s="2353"/>
      <c r="R24" s="2351"/>
      <c r="S24" s="2353"/>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366"/>
      <c r="E25" s="2355"/>
      <c r="F25" s="2368"/>
      <c r="G25" s="2355"/>
      <c r="H25" s="2357"/>
      <c r="I25" s="2359"/>
      <c r="J25" s="2362"/>
      <c r="K25" s="2353"/>
      <c r="L25" s="2353"/>
      <c r="M25" s="2353"/>
      <c r="N25" s="2351"/>
      <c r="O25" s="2353"/>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366"/>
      <c r="E26" s="2355"/>
      <c r="F26" s="2368"/>
      <c r="G26" s="2355"/>
      <c r="H26" s="2357"/>
      <c r="I26" s="2359"/>
      <c r="J26" s="2362"/>
      <c r="K26" s="2353"/>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366"/>
      <c r="E27" s="2355"/>
      <c r="F27" s="2369"/>
      <c r="G27" s="2355"/>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customHeight="1">
      <c r="A28" s="259"/>
      <c r="C28" s="147"/>
      <c r="D28" s="2365">
        <v>3</v>
      </c>
      <c r="E28" s="2354" t="s">
        <v>173</v>
      </c>
      <c r="F28" s="2367" t="s">
        <v>19</v>
      </c>
      <c r="G28" s="2354"/>
      <c r="H28" s="2356"/>
      <c r="I28" s="2358"/>
      <c r="J28" s="2360"/>
      <c r="K28" s="2352"/>
      <c r="L28" s="2352"/>
      <c r="M28" s="2352"/>
      <c r="N28" s="2363"/>
      <c r="O28" s="2352"/>
      <c r="P28" s="2352"/>
      <c r="Q28" s="2352"/>
      <c r="R28" s="2350"/>
      <c r="S28" s="2352"/>
      <c r="T28" s="1347"/>
      <c r="U28" s="1347"/>
      <c r="V28" s="1346"/>
      <c r="W28" s="1223"/>
      <c r="X28" s="1194"/>
      <c r="Y28" s="1194"/>
      <c r="Z28" s="1194"/>
      <c r="AA28" s="1194"/>
      <c r="AB28" s="1194"/>
      <c r="AC28" s="1194" t="s">
        <v>174</v>
      </c>
      <c r="AD28" s="1194" t="s">
        <v>175</v>
      </c>
      <c r="AE28" s="1194" t="s">
        <v>176</v>
      </c>
      <c r="AF28" s="1194" t="s">
        <v>177</v>
      </c>
      <c r="AG28" s="1194" t="s">
        <v>178</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customHeight="1">
      <c r="A29" s="259"/>
      <c r="C29" s="258"/>
      <c r="D29" s="2365"/>
      <c r="E29" s="2354"/>
      <c r="F29" s="2368"/>
      <c r="G29" s="2354"/>
      <c r="H29" s="2357"/>
      <c r="I29" s="2359"/>
      <c r="J29" s="2361"/>
      <c r="K29" s="2353"/>
      <c r="L29" s="2353"/>
      <c r="M29" s="2353"/>
      <c r="N29" s="2364"/>
      <c r="O29" s="2353"/>
      <c r="P29" s="2353"/>
      <c r="Q29" s="2353"/>
      <c r="R29" s="2351"/>
      <c r="S29" s="2353"/>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customHeight="1">
      <c r="A30" s="259"/>
      <c r="C30" s="258"/>
      <c r="D30" s="2366"/>
      <c r="E30" s="2355"/>
      <c r="F30" s="2368"/>
      <c r="G30" s="2355"/>
      <c r="H30" s="2357"/>
      <c r="I30" s="2359"/>
      <c r="J30" s="2362"/>
      <c r="K30" s="2353"/>
      <c r="L30" s="2353"/>
      <c r="M30" s="2353"/>
      <c r="N30" s="2351"/>
      <c r="O30" s="2353"/>
      <c r="P30" s="1345"/>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customHeight="1">
      <c r="A31" s="259"/>
      <c r="C31" s="258"/>
      <c r="D31" s="2366"/>
      <c r="E31" s="2355"/>
      <c r="F31" s="2368"/>
      <c r="G31" s="2355"/>
      <c r="H31" s="2357"/>
      <c r="I31" s="2359"/>
      <c r="J31" s="2362"/>
      <c r="K31" s="2353"/>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customHeight="1">
      <c r="A32" s="259"/>
      <c r="C32" s="258"/>
      <c r="D32" s="2366"/>
      <c r="E32" s="2355"/>
      <c r="F32" s="2369"/>
      <c r="G32" s="2355"/>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customHeight="1">
      <c r="A33" s="259"/>
      <c r="C33" s="147"/>
      <c r="D33" s="2365">
        <v>4</v>
      </c>
      <c r="E33" s="2354" t="s">
        <v>179</v>
      </c>
      <c r="F33" s="2367" t="s">
        <v>67</v>
      </c>
      <c r="G33" s="2373" t="str">
        <f>INDEX(VD_NAME_LIST,MATCH("4190069",VD_ID_LIST,0))&amp;"; "&amp;INDEX(VD_NAME_LIST,MATCH("4190071",VD_ID_LIST,0))</f>
        <v>Передача. Теплоноситель; Сбыт. Теплоноситель</v>
      </c>
      <c r="H33" s="2399"/>
      <c r="I33" s="2399">
        <v>1</v>
      </c>
      <c r="J33" s="2397" t="s">
        <v>180</v>
      </c>
      <c r="K33" s="2392" t="s">
        <v>67</v>
      </c>
      <c r="L33" s="2343"/>
      <c r="M33" s="2343" t="s">
        <v>110</v>
      </c>
      <c r="N33" s="2395" t="str">
        <f>IF(Z33="","",INDEX(TERRITORY_MR_LIST,MATCH(Z33,TERRITORY_LIST_ID,0)))</f>
        <v>Территория 1</v>
      </c>
      <c r="O33" s="2392" t="s">
        <v>19</v>
      </c>
      <c r="P33" s="2343"/>
      <c r="Q33" s="2343" t="s">
        <v>110</v>
      </c>
      <c r="R33" s="2394" t="s">
        <v>28</v>
      </c>
      <c r="S33" s="2342" t="s">
        <v>19</v>
      </c>
      <c r="T33" s="1999"/>
      <c r="U33" s="1999" t="s">
        <v>110</v>
      </c>
      <c r="V33" s="2030" t="s">
        <v>28</v>
      </c>
      <c r="W33" s="2010"/>
      <c r="X33" s="1194"/>
      <c r="Y33" s="1194"/>
      <c r="Z33" s="1194" t="s">
        <v>99</v>
      </c>
      <c r="AA33" s="1194"/>
      <c r="AB33" s="1194" t="s">
        <v>181</v>
      </c>
      <c r="AC33" s="1194" t="s">
        <v>182</v>
      </c>
      <c r="AD33" s="1194" t="s">
        <v>183</v>
      </c>
      <c r="AE33" s="1194" t="s">
        <v>184</v>
      </c>
      <c r="AF33" s="1194" t="s">
        <v>185</v>
      </c>
      <c r="AG33" s="1194" t="s">
        <v>186</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Передача. Теплоноситель; Сбыт. Теплоноситель</v>
      </c>
      <c r="AJ33" s="1194" t="str">
        <f>IF($J$33=0,"",$J$33)</f>
        <v>Тариф на горячую воду в открытой системе теплоснабжения (горячее водоснабжение)</v>
      </c>
      <c r="AK33" s="1194" t="str">
        <f>IF($K$33="нет","без дифференциации",IF($N$33=0,"",$N$33))</f>
        <v>Территория 1</v>
      </c>
      <c r="AL33" s="1194" t="str">
        <f>IF($O$33="нет","без дифференциации",IF($R$33=0,"",$R$33))</f>
        <v>без дифференциации</v>
      </c>
      <c r="AM33" s="1194" t="str">
        <f>IF($S$33="нет","без дифференциации",IF($V$33=0,"",$V$33))</f>
        <v>без дифференциации</v>
      </c>
      <c r="AN33" s="1698">
        <f>$I$33</f>
        <v>1</v>
      </c>
      <c r="AO33" s="1194" t="str">
        <f>$I$33&amp;"."&amp;$M$33</f>
        <v>1.1</v>
      </c>
      <c r="AP33" s="1186" t="str">
        <f>$I$33&amp;"."&amp;$M$33&amp;"."&amp;$Q$33</f>
        <v>1.1.1</v>
      </c>
      <c r="AQ33" s="1186" t="str">
        <f>$I$33&amp;"."&amp;$M$33&amp;"."&amp;$Q$33&amp;"."&amp;$U$33</f>
        <v>1.1.1.1</v>
      </c>
      <c r="AR33" s="1210">
        <v>0</v>
      </c>
    </row>
    <row r="34" spans="1:44" s="1778" customFormat="1" ht="17.25" customHeight="1">
      <c r="A34" s="259"/>
      <c r="C34" s="258"/>
      <c r="D34" s="2365"/>
      <c r="E34" s="2354"/>
      <c r="F34" s="2368"/>
      <c r="G34" s="2373"/>
      <c r="H34" s="2399"/>
      <c r="I34" s="2399"/>
      <c r="J34" s="2397"/>
      <c r="K34" s="2393"/>
      <c r="L34" s="2343"/>
      <c r="M34" s="2343"/>
      <c r="N34" s="2395"/>
      <c r="O34" s="2393"/>
      <c r="P34" s="2343"/>
      <c r="Q34" s="2343"/>
      <c r="R34" s="2394" t="s">
        <v>28</v>
      </c>
      <c r="S34" s="2342"/>
      <c r="T34" s="2071"/>
      <c r="U34" s="2072"/>
      <c r="V34" s="2073" t="s">
        <v>169</v>
      </c>
      <c r="W34" s="2074"/>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customHeight="1">
      <c r="A35" s="259"/>
      <c r="C35" s="258"/>
      <c r="D35" s="2366"/>
      <c r="E35" s="2355"/>
      <c r="F35" s="2368"/>
      <c r="G35" s="2374"/>
      <c r="H35" s="2366"/>
      <c r="I35" s="2366"/>
      <c r="J35" s="2398"/>
      <c r="K35" s="2393"/>
      <c r="L35" s="2366"/>
      <c r="M35" s="2366"/>
      <c r="N35" s="2396"/>
      <c r="O35" s="2347"/>
      <c r="P35" s="2075"/>
      <c r="Q35" s="2076"/>
      <c r="R35" s="2077" t="s">
        <v>170</v>
      </c>
      <c r="S35" s="2078"/>
      <c r="T35" s="2079"/>
      <c r="U35" s="2080"/>
      <c r="V35" s="2081"/>
      <c r="W35" s="2082"/>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customHeight="1">
      <c r="A36" s="259"/>
      <c r="C36" s="258"/>
      <c r="D36" s="2366"/>
      <c r="E36" s="2355"/>
      <c r="F36" s="2368"/>
      <c r="G36" s="2374"/>
      <c r="H36" s="2366"/>
      <c r="I36" s="2366"/>
      <c r="J36" s="2398"/>
      <c r="K36" s="2347"/>
      <c r="L36" s="2083"/>
      <c r="M36" s="2084"/>
      <c r="N36" s="2085" t="s">
        <v>171</v>
      </c>
      <c r="O36" s="2086"/>
      <c r="P36" s="2087"/>
      <c r="Q36" s="2088"/>
      <c r="R36" s="2089"/>
      <c r="S36" s="2090"/>
      <c r="T36" s="2091"/>
      <c r="U36" s="2092"/>
      <c r="V36" s="2093"/>
      <c r="W36" s="2094"/>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customHeight="1">
      <c r="A37" s="259"/>
      <c r="C37" s="258"/>
      <c r="D37" s="2366"/>
      <c r="E37" s="2355"/>
      <c r="F37" s="2369"/>
      <c r="G37" s="2374"/>
      <c r="H37" s="2095"/>
      <c r="I37" s="2096"/>
      <c r="J37" s="2097" t="s">
        <v>172</v>
      </c>
      <c r="K37" s="2098"/>
      <c r="L37" s="2099"/>
      <c r="M37" s="2100"/>
      <c r="N37" s="2101"/>
      <c r="O37" s="2102"/>
      <c r="P37" s="2103"/>
      <c r="Q37" s="2104"/>
      <c r="R37" s="2105"/>
      <c r="S37" s="2106"/>
      <c r="T37" s="2107"/>
      <c r="U37" s="2108"/>
      <c r="V37" s="2109"/>
      <c r="W37" s="2110"/>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customHeight="1">
      <c r="A38" s="259"/>
      <c r="C38" s="147"/>
      <c r="D38" s="2365">
        <v>5</v>
      </c>
      <c r="E38" s="2354" t="s">
        <v>187</v>
      </c>
      <c r="F38" s="2367" t="s">
        <v>19</v>
      </c>
      <c r="G38" s="2354"/>
      <c r="H38" s="2356"/>
      <c r="I38" s="2358"/>
      <c r="J38" s="2360"/>
      <c r="K38" s="2352"/>
      <c r="L38" s="2352"/>
      <c r="M38" s="2352"/>
      <c r="N38" s="2363"/>
      <c r="O38" s="2352"/>
      <c r="P38" s="2352"/>
      <c r="Q38" s="2352"/>
      <c r="R38" s="2350"/>
      <c r="S38" s="2352"/>
      <c r="T38" s="1347"/>
      <c r="U38" s="1347"/>
      <c r="V38" s="1346"/>
      <c r="W38" s="1223"/>
      <c r="X38" s="1194"/>
      <c r="Y38" s="1194"/>
      <c r="Z38" s="1194"/>
      <c r="AA38" s="1194"/>
      <c r="AB38" s="1194"/>
      <c r="AC38" s="1194" t="s">
        <v>188</v>
      </c>
      <c r="AD38" s="1194" t="s">
        <v>189</v>
      </c>
      <c r="AE38" s="1194" t="s">
        <v>190</v>
      </c>
      <c r="AF38" s="1194" t="s">
        <v>191</v>
      </c>
      <c r="AG38" s="1194" t="s">
        <v>192</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customHeight="1">
      <c r="A39" s="259"/>
      <c r="C39" s="258"/>
      <c r="D39" s="2365"/>
      <c r="E39" s="2354"/>
      <c r="F39" s="2368"/>
      <c r="G39" s="2354"/>
      <c r="H39" s="2357"/>
      <c r="I39" s="2359"/>
      <c r="J39" s="2361"/>
      <c r="K39" s="2353"/>
      <c r="L39" s="2353"/>
      <c r="M39" s="2353"/>
      <c r="N39" s="2364"/>
      <c r="O39" s="2353"/>
      <c r="P39" s="2353"/>
      <c r="Q39" s="2353"/>
      <c r="R39" s="2351"/>
      <c r="S39" s="2353"/>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customHeight="1">
      <c r="A40" s="259"/>
      <c r="C40" s="258"/>
      <c r="D40" s="2366"/>
      <c r="E40" s="2355"/>
      <c r="F40" s="2368"/>
      <c r="G40" s="2355"/>
      <c r="H40" s="2357"/>
      <c r="I40" s="2359"/>
      <c r="J40" s="2362"/>
      <c r="K40" s="2353"/>
      <c r="L40" s="2353"/>
      <c r="M40" s="2353"/>
      <c r="N40" s="2351"/>
      <c r="O40" s="2353"/>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customHeight="1">
      <c r="A41" s="259"/>
      <c r="C41" s="258"/>
      <c r="D41" s="2366"/>
      <c r="E41" s="2355"/>
      <c r="F41" s="2368"/>
      <c r="G41" s="2355"/>
      <c r="H41" s="2357"/>
      <c r="I41" s="2359"/>
      <c r="J41" s="2362"/>
      <c r="K41" s="2353"/>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customHeight="1">
      <c r="A42" s="259"/>
      <c r="C42" s="258"/>
      <c r="D42" s="2366"/>
      <c r="E42" s="2355"/>
      <c r="F42" s="2369"/>
      <c r="G42" s="2355"/>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customHeight="1">
      <c r="A43" s="259"/>
      <c r="C43" s="147"/>
      <c r="D43" s="2365">
        <v>6</v>
      </c>
      <c r="E43" s="2354" t="s">
        <v>193</v>
      </c>
      <c r="F43" s="2367" t="s">
        <v>19</v>
      </c>
      <c r="G43" s="2354"/>
      <c r="H43" s="2356"/>
      <c r="I43" s="2358"/>
      <c r="J43" s="2360"/>
      <c r="K43" s="2352"/>
      <c r="L43" s="2352"/>
      <c r="M43" s="2352"/>
      <c r="N43" s="2363"/>
      <c r="O43" s="2352"/>
      <c r="P43" s="2352"/>
      <c r="Q43" s="2352"/>
      <c r="R43" s="2350"/>
      <c r="S43" s="2352"/>
      <c r="T43" s="1347"/>
      <c r="U43" s="1347"/>
      <c r="V43" s="1346"/>
      <c r="W43" s="1223"/>
      <c r="X43" s="1194"/>
      <c r="Y43" s="1194"/>
      <c r="Z43" s="1194"/>
      <c r="AA43" s="1194"/>
      <c r="AB43" s="1194"/>
      <c r="AC43" s="1194" t="s">
        <v>194</v>
      </c>
      <c r="AD43" s="1194" t="s">
        <v>195</v>
      </c>
      <c r="AE43" s="1194" t="s">
        <v>196</v>
      </c>
      <c r="AF43" s="1194" t="s">
        <v>197</v>
      </c>
      <c r="AG43" s="1194" t="s">
        <v>198</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customHeight="1">
      <c r="A44" s="259"/>
      <c r="C44" s="258"/>
      <c r="D44" s="2365"/>
      <c r="E44" s="2354"/>
      <c r="F44" s="2368"/>
      <c r="G44" s="2354"/>
      <c r="H44" s="2357"/>
      <c r="I44" s="2359"/>
      <c r="J44" s="2361"/>
      <c r="K44" s="2353"/>
      <c r="L44" s="2353"/>
      <c r="M44" s="2353"/>
      <c r="N44" s="2364"/>
      <c r="O44" s="2353"/>
      <c r="P44" s="2353"/>
      <c r="Q44" s="2353"/>
      <c r="R44" s="2351"/>
      <c r="S44" s="2353"/>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customHeight="1">
      <c r="A45" s="259"/>
      <c r="C45" s="258"/>
      <c r="D45" s="2366"/>
      <c r="E45" s="2355"/>
      <c r="F45" s="2368"/>
      <c r="G45" s="2355"/>
      <c r="H45" s="2357"/>
      <c r="I45" s="2359"/>
      <c r="J45" s="2362"/>
      <c r="K45" s="2353"/>
      <c r="L45" s="2353"/>
      <c r="M45" s="2353"/>
      <c r="N45" s="2351"/>
      <c r="O45" s="2353"/>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customHeight="1">
      <c r="A46" s="259"/>
      <c r="C46" s="147"/>
      <c r="D46" s="2366"/>
      <c r="E46" s="2355"/>
      <c r="F46" s="2368"/>
      <c r="G46" s="2355"/>
      <c r="H46" s="2357"/>
      <c r="I46" s="2359"/>
      <c r="J46" s="2362"/>
      <c r="K46" s="2353"/>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customHeight="1">
      <c r="A47" s="259"/>
      <c r="C47" s="258"/>
      <c r="D47" s="2366"/>
      <c r="E47" s="2355"/>
      <c r="F47" s="2369"/>
      <c r="G47" s="2355"/>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customHeight="1">
      <c r="A48" s="259"/>
      <c r="C48" s="147"/>
      <c r="D48" s="2375">
        <v>7</v>
      </c>
      <c r="E48" s="2378" t="s">
        <v>199</v>
      </c>
      <c r="F48" s="2367" t="s">
        <v>19</v>
      </c>
      <c r="G48" s="2378"/>
      <c r="H48" s="2356"/>
      <c r="I48" s="2358"/>
      <c r="J48" s="2360"/>
      <c r="K48" s="2352"/>
      <c r="L48" s="2352"/>
      <c r="M48" s="2352"/>
      <c r="N48" s="2363"/>
      <c r="O48" s="2352"/>
      <c r="P48" s="2352"/>
      <c r="Q48" s="2352"/>
      <c r="R48" s="2350"/>
      <c r="S48" s="2352"/>
      <c r="T48" s="1347"/>
      <c r="U48" s="1347"/>
      <c r="V48" s="1346"/>
      <c r="W48" s="1223"/>
      <c r="X48" s="1194"/>
      <c r="Y48" s="1194"/>
      <c r="Z48" s="1194"/>
      <c r="AA48" s="1194"/>
      <c r="AB48" s="1194"/>
      <c r="AC48" s="1194" t="s">
        <v>200</v>
      </c>
      <c r="AD48" s="1194" t="s">
        <v>201</v>
      </c>
      <c r="AE48" s="1194" t="s">
        <v>202</v>
      </c>
      <c r="AF48" s="1194" t="s">
        <v>203</v>
      </c>
      <c r="AG48" s="1194" t="s">
        <v>204</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customHeight="1">
      <c r="A49" s="259"/>
      <c r="C49" s="258"/>
      <c r="D49" s="2376"/>
      <c r="E49" s="2379"/>
      <c r="F49" s="2368"/>
      <c r="G49" s="2379"/>
      <c r="H49" s="2357"/>
      <c r="I49" s="2359"/>
      <c r="J49" s="2361"/>
      <c r="K49" s="2353"/>
      <c r="L49" s="2353"/>
      <c r="M49" s="2353"/>
      <c r="N49" s="2364"/>
      <c r="O49" s="2353"/>
      <c r="P49" s="2353"/>
      <c r="Q49" s="2353"/>
      <c r="R49" s="2351"/>
      <c r="S49" s="2353"/>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customHeight="1">
      <c r="A50" s="259"/>
      <c r="C50" s="258"/>
      <c r="D50" s="2376"/>
      <c r="E50" s="2379"/>
      <c r="F50" s="2368"/>
      <c r="G50" s="2379"/>
      <c r="H50" s="2357"/>
      <c r="I50" s="2359"/>
      <c r="J50" s="2362"/>
      <c r="K50" s="2353"/>
      <c r="L50" s="2353"/>
      <c r="M50" s="2353"/>
      <c r="N50" s="2351"/>
      <c r="O50" s="2353"/>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customHeight="1">
      <c r="A51" s="259"/>
      <c r="C51" s="147"/>
      <c r="D51" s="2376"/>
      <c r="E51" s="2379"/>
      <c r="F51" s="2368"/>
      <c r="G51" s="2379"/>
      <c r="H51" s="2357"/>
      <c r="I51" s="2359"/>
      <c r="J51" s="2362"/>
      <c r="K51" s="2353"/>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customHeight="1">
      <c r="A52" s="259"/>
      <c r="C52" s="258"/>
      <c r="D52" s="2377"/>
      <c r="E52" s="2380"/>
      <c r="F52" s="2369"/>
      <c r="G52" s="2380"/>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customHeight="1">
      <c r="A53" s="259"/>
      <c r="C53" s="147"/>
      <c r="D53" s="2365">
        <v>8</v>
      </c>
      <c r="E53" s="2354" t="s">
        <v>205</v>
      </c>
      <c r="F53" s="2367" t="s">
        <v>19</v>
      </c>
      <c r="G53" s="2354"/>
      <c r="H53" s="2356"/>
      <c r="I53" s="2358"/>
      <c r="J53" s="2360"/>
      <c r="K53" s="2352"/>
      <c r="L53" s="2352"/>
      <c r="M53" s="2352"/>
      <c r="N53" s="2363"/>
      <c r="O53" s="2352"/>
      <c r="P53" s="2352"/>
      <c r="Q53" s="2352"/>
      <c r="R53" s="2350"/>
      <c r="S53" s="2352"/>
      <c r="T53" s="1397"/>
      <c r="U53" s="1397"/>
      <c r="V53" s="1399"/>
      <c r="W53" s="1223"/>
      <c r="X53" s="1194"/>
      <c r="Y53" s="1194"/>
      <c r="Z53" s="1194"/>
      <c r="AA53" s="1194"/>
      <c r="AB53" s="1194"/>
      <c r="AC53" s="1194" t="s">
        <v>206</v>
      </c>
      <c r="AD53" s="1194" t="s">
        <v>207</v>
      </c>
      <c r="AE53" s="1194" t="s">
        <v>208</v>
      </c>
      <c r="AF53" s="1194" t="s">
        <v>209</v>
      </c>
      <c r="AG53" s="1194" t="s">
        <v>210</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customHeight="1">
      <c r="A54" s="259"/>
      <c r="C54" s="258"/>
      <c r="D54" s="2365"/>
      <c r="E54" s="2354"/>
      <c r="F54" s="2368"/>
      <c r="G54" s="2354"/>
      <c r="H54" s="2357"/>
      <c r="I54" s="2359"/>
      <c r="J54" s="2361"/>
      <c r="K54" s="2353"/>
      <c r="L54" s="2353"/>
      <c r="M54" s="2353"/>
      <c r="N54" s="2364"/>
      <c r="O54" s="2353"/>
      <c r="P54" s="2353"/>
      <c r="Q54" s="2353"/>
      <c r="R54" s="2351"/>
      <c r="S54" s="2353"/>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customHeight="1">
      <c r="A55" s="259"/>
      <c r="C55" s="258"/>
      <c r="D55" s="2366"/>
      <c r="E55" s="2355"/>
      <c r="F55" s="2368"/>
      <c r="G55" s="2355"/>
      <c r="H55" s="2357"/>
      <c r="I55" s="2359"/>
      <c r="J55" s="2362"/>
      <c r="K55" s="2353"/>
      <c r="L55" s="2353"/>
      <c r="M55" s="2353"/>
      <c r="N55" s="2351"/>
      <c r="O55" s="2353"/>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customHeight="1">
      <c r="A56" s="259"/>
      <c r="C56" s="147"/>
      <c r="D56" s="2366"/>
      <c r="E56" s="2355"/>
      <c r="F56" s="2368"/>
      <c r="G56" s="2355"/>
      <c r="H56" s="2357"/>
      <c r="I56" s="2359"/>
      <c r="J56" s="2362"/>
      <c r="K56" s="2353"/>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customHeight="1">
      <c r="A57" s="259"/>
      <c r="C57" s="258"/>
      <c r="D57" s="2366"/>
      <c r="E57" s="2355"/>
      <c r="F57" s="2369"/>
      <c r="G57" s="2355"/>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customHeight="1">
      <c r="A58" s="259"/>
      <c r="C58" s="147"/>
      <c r="D58" s="2365">
        <v>9</v>
      </c>
      <c r="E58" s="2354" t="s">
        <v>211</v>
      </c>
      <c r="F58" s="2367" t="s">
        <v>19</v>
      </c>
      <c r="G58" s="2354"/>
      <c r="H58" s="2356"/>
      <c r="I58" s="2358"/>
      <c r="J58" s="2360"/>
      <c r="K58" s="2352"/>
      <c r="L58" s="2352"/>
      <c r="M58" s="2352"/>
      <c r="N58" s="2363"/>
      <c r="O58" s="2352"/>
      <c r="P58" s="2352"/>
      <c r="Q58" s="2352"/>
      <c r="R58" s="2350"/>
      <c r="S58" s="2352"/>
      <c r="T58" s="1853"/>
      <c r="U58" s="1853"/>
      <c r="V58" s="1855"/>
      <c r="W58" s="1223"/>
      <c r="X58" s="1194"/>
      <c r="Y58" s="1194"/>
      <c r="Z58" s="1194"/>
      <c r="AA58" s="1194"/>
      <c r="AB58" s="1194"/>
      <c r="AC58" s="1194" t="s">
        <v>212</v>
      </c>
      <c r="AD58" s="1194" t="s">
        <v>213</v>
      </c>
      <c r="AE58" s="1194" t="s">
        <v>214</v>
      </c>
      <c r="AF58" s="1194" t="s">
        <v>215</v>
      </c>
      <c r="AG58" s="1194" t="s">
        <v>216</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customHeight="1">
      <c r="A59" s="259"/>
      <c r="C59" s="258"/>
      <c r="D59" s="2365"/>
      <c r="E59" s="2354"/>
      <c r="F59" s="2368"/>
      <c r="G59" s="2354"/>
      <c r="H59" s="2357"/>
      <c r="I59" s="2359"/>
      <c r="J59" s="2361"/>
      <c r="K59" s="2353"/>
      <c r="L59" s="2353"/>
      <c r="M59" s="2353"/>
      <c r="N59" s="2364"/>
      <c r="O59" s="2353"/>
      <c r="P59" s="2353"/>
      <c r="Q59" s="2353"/>
      <c r="R59" s="2351"/>
      <c r="S59" s="2353"/>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customHeight="1">
      <c r="A60" s="259"/>
      <c r="C60" s="258"/>
      <c r="D60" s="2366"/>
      <c r="E60" s="2355"/>
      <c r="F60" s="2368"/>
      <c r="G60" s="2355"/>
      <c r="H60" s="2357"/>
      <c r="I60" s="2359"/>
      <c r="J60" s="2362"/>
      <c r="K60" s="2353"/>
      <c r="L60" s="2353"/>
      <c r="M60" s="2353"/>
      <c r="N60" s="2351"/>
      <c r="O60" s="2353"/>
      <c r="P60" s="1854"/>
      <c r="Q60" s="1856"/>
      <c r="R60" s="1856"/>
      <c r="S60" s="267"/>
      <c r="T60" s="267"/>
      <c r="U60" s="267"/>
      <c r="V60" s="267"/>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customHeight="1">
      <c r="A61" s="259"/>
      <c r="C61" s="147"/>
      <c r="D61" s="2366"/>
      <c r="E61" s="2355"/>
      <c r="F61" s="2368"/>
      <c r="G61" s="2355"/>
      <c r="H61" s="2357"/>
      <c r="I61" s="2359"/>
      <c r="J61" s="2362"/>
      <c r="K61" s="2353"/>
      <c r="L61" s="1856"/>
      <c r="M61" s="1856"/>
      <c r="N61" s="1856"/>
      <c r="O61" s="1856"/>
      <c r="P61" s="1856"/>
      <c r="Q61" s="1856"/>
      <c r="R61" s="1856"/>
      <c r="S61" s="267"/>
      <c r="T61" s="267"/>
      <c r="U61" s="267"/>
      <c r="V61" s="267"/>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customHeight="1">
      <c r="A62" s="259"/>
      <c r="C62" s="258"/>
      <c r="D62" s="2366"/>
      <c r="E62" s="2355"/>
      <c r="F62" s="2369"/>
      <c r="G62" s="2355"/>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365">
        <v>10</v>
      </c>
      <c r="E63" s="2354" t="s">
        <v>217</v>
      </c>
      <c r="F63" s="2367" t="s">
        <v>19</v>
      </c>
      <c r="G63" s="2354"/>
      <c r="H63" s="2356"/>
      <c r="I63" s="2358"/>
      <c r="J63" s="2360"/>
      <c r="K63" s="2352"/>
      <c r="L63" s="2352"/>
      <c r="M63" s="2352"/>
      <c r="N63" s="2363"/>
      <c r="O63" s="2352"/>
      <c r="P63" s="2352"/>
      <c r="Q63" s="2352"/>
      <c r="R63" s="2350"/>
      <c r="S63" s="2352"/>
      <c r="T63" s="1853"/>
      <c r="U63" s="1853"/>
      <c r="V63" s="1855"/>
      <c r="W63" s="1223"/>
      <c r="X63" s="1194"/>
      <c r="Y63" s="1194"/>
      <c r="Z63" s="1194"/>
      <c r="AA63" s="1194"/>
      <c r="AB63" s="1194"/>
      <c r="AC63" s="1194" t="s">
        <v>218</v>
      </c>
      <c r="AD63" s="1194" t="s">
        <v>219</v>
      </c>
      <c r="AE63" s="1194" t="s">
        <v>220</v>
      </c>
      <c r="AF63" s="1194" t="s">
        <v>221</v>
      </c>
      <c r="AG63" s="1194" t="s">
        <v>222</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365"/>
      <c r="E64" s="2354"/>
      <c r="F64" s="2368"/>
      <c r="G64" s="2354"/>
      <c r="H64" s="2357"/>
      <c r="I64" s="2359"/>
      <c r="J64" s="2361"/>
      <c r="K64" s="2353"/>
      <c r="L64" s="2353"/>
      <c r="M64" s="2353"/>
      <c r="N64" s="2364"/>
      <c r="O64" s="2353"/>
      <c r="P64" s="2353"/>
      <c r="Q64" s="2353"/>
      <c r="R64" s="2351"/>
      <c r="S64" s="2353"/>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366"/>
      <c r="E65" s="2355"/>
      <c r="F65" s="2368"/>
      <c r="G65" s="2355"/>
      <c r="H65" s="2357"/>
      <c r="I65" s="2359"/>
      <c r="J65" s="2362"/>
      <c r="K65" s="2353"/>
      <c r="L65" s="2353"/>
      <c r="M65" s="2353"/>
      <c r="N65" s="2351"/>
      <c r="O65" s="2353"/>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366"/>
      <c r="E66" s="2355"/>
      <c r="F66" s="2368"/>
      <c r="G66" s="2355"/>
      <c r="H66" s="2357"/>
      <c r="I66" s="2359"/>
      <c r="J66" s="2362"/>
      <c r="K66" s="2353"/>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366"/>
      <c r="E67" s="2355"/>
      <c r="F67" s="2369"/>
      <c r="G67" s="2355"/>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customHeight="1">
      <c r="AR68" s="44">
        <v>0</v>
      </c>
    </row>
    <row r="69" spans="1:44" ht="11.25" customHeight="1">
      <c r="E69" s="2372" t="s">
        <v>223</v>
      </c>
      <c r="F69" s="2372"/>
      <c r="G69" s="2372"/>
      <c r="H69" s="2372"/>
      <c r="I69" s="2372"/>
      <c r="J69" s="2372"/>
      <c r="K69" s="2372"/>
      <c r="L69" s="2372"/>
      <c r="M69" s="2372"/>
      <c r="N69" s="2372"/>
      <c r="O69" s="2372"/>
      <c r="P69" s="2372"/>
      <c r="Q69" s="2372"/>
      <c r="R69" s="2372"/>
      <c r="S69" s="2372"/>
      <c r="T69" s="2372"/>
      <c r="U69" s="2372"/>
      <c r="V69" s="2372"/>
      <c r="W69" s="2372"/>
      <c r="AR69" s="44">
        <v>0</v>
      </c>
    </row>
    <row r="70" spans="1:44" ht="36.75" customHeight="1">
      <c r="E70" s="2370" t="s">
        <v>224</v>
      </c>
      <c r="F70" s="2370"/>
      <c r="G70" s="2371"/>
      <c r="H70" s="2371"/>
      <c r="I70" s="2371"/>
      <c r="J70" s="2371"/>
      <c r="K70" s="2371"/>
      <c r="L70" s="2371"/>
      <c r="M70" s="2371"/>
      <c r="N70" s="2371"/>
      <c r="O70" s="2371"/>
      <c r="P70" s="2371"/>
      <c r="Q70" s="2371"/>
      <c r="R70" s="2371"/>
      <c r="S70" s="2371"/>
      <c r="T70" s="2371"/>
      <c r="U70" s="2371"/>
      <c r="V70" s="2371"/>
      <c r="W70" s="2371"/>
      <c r="AR70" s="44">
        <v>0</v>
      </c>
    </row>
    <row r="71" spans="1:44" ht="28.5" customHeight="1">
      <c r="E71" s="2370" t="s">
        <v>225</v>
      </c>
      <c r="F71" s="2370"/>
      <c r="G71" s="2371"/>
      <c r="H71" s="2371"/>
      <c r="I71" s="2371"/>
      <c r="J71" s="2371"/>
      <c r="K71" s="2371"/>
      <c r="L71" s="2371"/>
      <c r="M71" s="2371"/>
      <c r="N71" s="2371"/>
      <c r="O71" s="2371"/>
      <c r="P71" s="2371"/>
      <c r="Q71" s="2371"/>
      <c r="R71" s="2371"/>
      <c r="S71" s="2371"/>
      <c r="T71" s="2371"/>
      <c r="U71" s="2371"/>
      <c r="V71" s="2371"/>
      <c r="W71" s="2371"/>
      <c r="AR71" s="44">
        <v>0</v>
      </c>
    </row>
    <row r="72" spans="1:44" ht="27" customHeight="1">
      <c r="E72" s="2370" t="s">
        <v>226</v>
      </c>
      <c r="F72" s="2370"/>
      <c r="G72" s="2371"/>
      <c r="H72" s="2371"/>
      <c r="I72" s="2371"/>
      <c r="J72" s="2371"/>
      <c r="K72" s="2371"/>
      <c r="L72" s="2371"/>
      <c r="M72" s="2371"/>
      <c r="N72" s="2371"/>
      <c r="O72" s="2371"/>
      <c r="P72" s="2371"/>
      <c r="Q72" s="2371"/>
      <c r="R72" s="2371"/>
      <c r="S72" s="2371"/>
      <c r="T72" s="2371"/>
      <c r="U72" s="2371"/>
      <c r="V72" s="2371"/>
      <c r="W72" s="2371"/>
      <c r="AR72" s="44">
        <v>0</v>
      </c>
    </row>
    <row r="73" spans="1:44" ht="17.25" customHeight="1">
      <c r="E73" s="2370" t="s">
        <v>227</v>
      </c>
      <c r="F73" s="2370"/>
      <c r="G73" s="2371"/>
      <c r="H73" s="2371"/>
      <c r="I73" s="2371"/>
      <c r="J73" s="2371"/>
      <c r="K73" s="2371"/>
      <c r="L73" s="2371"/>
      <c r="M73" s="2371"/>
      <c r="N73" s="2371"/>
      <c r="O73" s="2371"/>
      <c r="P73" s="2371"/>
      <c r="Q73" s="2371"/>
      <c r="R73" s="2371"/>
      <c r="S73" s="2371"/>
      <c r="T73" s="2371"/>
      <c r="U73" s="2371"/>
      <c r="V73" s="2371"/>
      <c r="W73" s="2371"/>
      <c r="AR73" s="44">
        <v>0</v>
      </c>
    </row>
    <row r="74" spans="1:44" ht="15" customHeight="1">
      <c r="E74" s="278"/>
      <c r="F74" s="1212"/>
      <c r="G74" s="95"/>
      <c r="H74" s="95"/>
      <c r="I74" s="95"/>
      <c r="J74" s="95"/>
      <c r="K74" s="95"/>
      <c r="L74" s="95"/>
      <c r="M74" s="95"/>
      <c r="N74" s="95"/>
      <c r="O74" s="95"/>
      <c r="P74" s="95"/>
      <c r="Q74" s="95"/>
      <c r="R74" s="95"/>
      <c r="S74" s="95"/>
      <c r="T74" s="95"/>
      <c r="U74" s="95"/>
      <c r="V74" s="95"/>
      <c r="W74" s="95"/>
      <c r="AR74" s="44">
        <v>0</v>
      </c>
    </row>
    <row r="75" spans="1:44" ht="15" customHeight="1">
      <c r="E75" s="2372" t="s">
        <v>228</v>
      </c>
      <c r="F75" s="2372"/>
      <c r="G75" s="2372"/>
      <c r="H75" s="2372"/>
      <c r="I75" s="2372"/>
      <c r="J75" s="2372"/>
      <c r="K75" s="2372"/>
      <c r="L75" s="2372"/>
      <c r="M75" s="2372"/>
      <c r="N75" s="2372"/>
      <c r="O75" s="2372"/>
      <c r="P75" s="2372"/>
      <c r="Q75" s="2372"/>
      <c r="R75" s="2372"/>
      <c r="S75" s="2372"/>
      <c r="T75" s="2372"/>
      <c r="U75" s="2372"/>
      <c r="V75" s="2372"/>
      <c r="W75" s="2372"/>
      <c r="AR75" s="44">
        <v>0</v>
      </c>
    </row>
    <row r="76" spans="1:44" ht="17.25" customHeight="1">
      <c r="E76" s="2370" t="s">
        <v>229</v>
      </c>
      <c r="F76" s="2370"/>
      <c r="G76" s="2371"/>
      <c r="H76" s="2371"/>
      <c r="I76" s="2371"/>
      <c r="J76" s="2371"/>
      <c r="K76" s="2371"/>
      <c r="L76" s="2371"/>
      <c r="M76" s="2371"/>
      <c r="N76" s="2371"/>
      <c r="O76" s="2371"/>
      <c r="P76" s="2371"/>
      <c r="Q76" s="2371"/>
      <c r="R76" s="2371"/>
      <c r="S76" s="2371"/>
      <c r="T76" s="2371"/>
      <c r="U76" s="2371"/>
      <c r="V76" s="2371"/>
      <c r="W76" s="2371"/>
      <c r="AR76" s="44">
        <v>0</v>
      </c>
    </row>
    <row r="77" spans="1:44" ht="17.25" customHeight="1">
      <c r="E77" s="2370" t="s">
        <v>230</v>
      </c>
      <c r="F77" s="2370"/>
      <c r="G77" s="2371"/>
      <c r="H77" s="2371"/>
      <c r="I77" s="2371"/>
      <c r="J77" s="2371"/>
      <c r="K77" s="2371"/>
      <c r="L77" s="2371"/>
      <c r="M77" s="2371"/>
      <c r="N77" s="2371"/>
      <c r="O77" s="2371"/>
      <c r="P77" s="2371"/>
      <c r="Q77" s="2371"/>
      <c r="R77" s="2371"/>
      <c r="S77" s="2371"/>
      <c r="T77" s="2371"/>
      <c r="U77" s="2371"/>
      <c r="V77" s="2371"/>
      <c r="W77" s="2371"/>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365">
        <v>1</v>
      </c>
      <c r="E79" s="2354" t="s">
        <v>231</v>
      </c>
      <c r="F79" s="2367" t="s">
        <v>19</v>
      </c>
      <c r="G79" s="2354"/>
      <c r="H79" s="2356"/>
      <c r="I79" s="2358"/>
      <c r="J79" s="2360"/>
      <c r="K79" s="2352"/>
      <c r="L79" s="2352"/>
      <c r="M79" s="2352"/>
      <c r="N79" s="2363"/>
      <c r="O79" s="2352"/>
      <c r="P79" s="2352"/>
      <c r="Q79" s="2352"/>
      <c r="R79" s="2350"/>
      <c r="S79" s="2352"/>
      <c r="T79" s="1397"/>
      <c r="U79" s="1397"/>
      <c r="V79" s="1399"/>
      <c r="W79" s="1223"/>
      <c r="Y79" s="1194"/>
      <c r="Z79" s="1194"/>
      <c r="AA79" s="1194"/>
      <c r="AB79" s="1194"/>
      <c r="AC79" s="1194" t="s">
        <v>232</v>
      </c>
      <c r="AD79" s="1194" t="s">
        <v>233</v>
      </c>
      <c r="AE79" s="1194" t="s">
        <v>234</v>
      </c>
      <c r="AF79" s="1194" t="s">
        <v>235</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365"/>
      <c r="E80" s="2354"/>
      <c r="F80" s="2368"/>
      <c r="G80" s="2354"/>
      <c r="H80" s="2357"/>
      <c r="I80" s="2359"/>
      <c r="J80" s="2361"/>
      <c r="K80" s="2353"/>
      <c r="L80" s="2353"/>
      <c r="M80" s="2353"/>
      <c r="N80" s="2364"/>
      <c r="O80" s="2353"/>
      <c r="P80" s="2353"/>
      <c r="Q80" s="2353"/>
      <c r="R80" s="2351"/>
      <c r="S80" s="2353"/>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365"/>
      <c r="E81" s="2354"/>
      <c r="F81" s="2368"/>
      <c r="G81" s="2354"/>
      <c r="H81" s="2357"/>
      <c r="I81" s="2359"/>
      <c r="J81" s="2362"/>
      <c r="K81" s="2353"/>
      <c r="L81" s="2353"/>
      <c r="M81" s="2353"/>
      <c r="N81" s="2351"/>
      <c r="O81" s="2353"/>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365"/>
      <c r="E82" s="2354"/>
      <c r="F82" s="2368"/>
      <c r="G82" s="2354"/>
      <c r="H82" s="2357"/>
      <c r="I82" s="2359"/>
      <c r="J82" s="2362"/>
      <c r="K82" s="2353"/>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366"/>
      <c r="E83" s="2355"/>
      <c r="F83" s="2369"/>
      <c r="G83" s="2355"/>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365">
        <v>2</v>
      </c>
      <c r="E84" s="2354" t="s">
        <v>236</v>
      </c>
      <c r="F84" s="2367" t="s">
        <v>19</v>
      </c>
      <c r="G84" s="2354"/>
      <c r="H84" s="2356"/>
      <c r="I84" s="2358"/>
      <c r="J84" s="2360"/>
      <c r="K84" s="2352"/>
      <c r="L84" s="2352"/>
      <c r="M84" s="2352"/>
      <c r="N84" s="2363"/>
      <c r="O84" s="2352"/>
      <c r="P84" s="2352"/>
      <c r="Q84" s="2352"/>
      <c r="R84" s="2350"/>
      <c r="S84" s="2352"/>
      <c r="T84" s="1370"/>
      <c r="U84" s="1370"/>
      <c r="V84" s="1372"/>
      <c r="W84" s="1223"/>
      <c r="X84" s="1194"/>
      <c r="Y84" s="1194"/>
      <c r="Z84" s="1194"/>
      <c r="AA84" s="1194"/>
      <c r="AB84" s="1194"/>
      <c r="AC84" s="1194" t="s">
        <v>237</v>
      </c>
      <c r="AD84" s="1194" t="s">
        <v>238</v>
      </c>
      <c r="AE84" s="1194" t="s">
        <v>239</v>
      </c>
      <c r="AF84" s="1194" t="s">
        <v>240</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365"/>
      <c r="E85" s="2354"/>
      <c r="F85" s="2368"/>
      <c r="G85" s="2354"/>
      <c r="H85" s="2357"/>
      <c r="I85" s="2359"/>
      <c r="J85" s="2361"/>
      <c r="K85" s="2353"/>
      <c r="L85" s="2353"/>
      <c r="M85" s="2353"/>
      <c r="N85" s="2364"/>
      <c r="O85" s="2353"/>
      <c r="P85" s="2353"/>
      <c r="Q85" s="2353"/>
      <c r="R85" s="2351"/>
      <c r="S85" s="2353"/>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366"/>
      <c r="E86" s="2355"/>
      <c r="F86" s="2368"/>
      <c r="G86" s="2355"/>
      <c r="H86" s="2357"/>
      <c r="I86" s="2359"/>
      <c r="J86" s="2362"/>
      <c r="K86" s="2353"/>
      <c r="L86" s="2353"/>
      <c r="M86" s="2353"/>
      <c r="N86" s="2351"/>
      <c r="O86" s="2353"/>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366"/>
      <c r="E87" s="2355"/>
      <c r="F87" s="2368"/>
      <c r="G87" s="2355"/>
      <c r="H87" s="2357"/>
      <c r="I87" s="2359"/>
      <c r="J87" s="2362"/>
      <c r="K87" s="2353"/>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366"/>
      <c r="E88" s="2355"/>
      <c r="F88" s="2369"/>
      <c r="G88" s="2355"/>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365">
        <v>3</v>
      </c>
      <c r="E89" s="2354" t="s">
        <v>241</v>
      </c>
      <c r="F89" s="2367" t="s">
        <v>19</v>
      </c>
      <c r="G89" s="2354"/>
      <c r="H89" s="2356"/>
      <c r="I89" s="2358"/>
      <c r="J89" s="2360"/>
      <c r="K89" s="2352"/>
      <c r="L89" s="2352"/>
      <c r="M89" s="2352"/>
      <c r="N89" s="2363"/>
      <c r="O89" s="2352"/>
      <c r="P89" s="2352"/>
      <c r="Q89" s="2352"/>
      <c r="R89" s="2350"/>
      <c r="S89" s="2352"/>
      <c r="T89" s="1370"/>
      <c r="U89" s="1370"/>
      <c r="V89" s="1372"/>
      <c r="W89" s="1223"/>
      <c r="X89" s="1194"/>
      <c r="Y89" s="1194"/>
      <c r="Z89" s="1194"/>
      <c r="AA89" s="1194"/>
      <c r="AB89" s="1194"/>
      <c r="AC89" s="1194" t="s">
        <v>242</v>
      </c>
      <c r="AD89" s="1194" t="s">
        <v>243</v>
      </c>
      <c r="AE89" s="1194" t="s">
        <v>244</v>
      </c>
      <c r="AF89" s="1194" t="s">
        <v>245</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365"/>
      <c r="E90" s="2354"/>
      <c r="F90" s="2368"/>
      <c r="G90" s="2354"/>
      <c r="H90" s="2357"/>
      <c r="I90" s="2359"/>
      <c r="J90" s="2361"/>
      <c r="K90" s="2353"/>
      <c r="L90" s="2353"/>
      <c r="M90" s="2353"/>
      <c r="N90" s="2364"/>
      <c r="O90" s="2353"/>
      <c r="P90" s="2353"/>
      <c r="Q90" s="2353"/>
      <c r="R90" s="2351"/>
      <c r="S90" s="2353"/>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366"/>
      <c r="E91" s="2355"/>
      <c r="F91" s="2368"/>
      <c r="G91" s="2355"/>
      <c r="H91" s="2357"/>
      <c r="I91" s="2359"/>
      <c r="J91" s="2362"/>
      <c r="K91" s="2353"/>
      <c r="L91" s="2353"/>
      <c r="M91" s="2353"/>
      <c r="N91" s="2351"/>
      <c r="O91" s="2353"/>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366"/>
      <c r="E92" s="2355"/>
      <c r="F92" s="2368"/>
      <c r="G92" s="2355"/>
      <c r="H92" s="2357"/>
      <c r="I92" s="2359"/>
      <c r="J92" s="2362"/>
      <c r="K92" s="2353"/>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366"/>
      <c r="E93" s="2355"/>
      <c r="F93" s="2369"/>
      <c r="G93" s="2355"/>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365">
        <v>4</v>
      </c>
      <c r="E94" s="2354" t="s">
        <v>246</v>
      </c>
      <c r="F94" s="2367" t="s">
        <v>19</v>
      </c>
      <c r="G94" s="2354"/>
      <c r="H94" s="2356"/>
      <c r="I94" s="2358"/>
      <c r="J94" s="2360"/>
      <c r="K94" s="2352"/>
      <c r="L94" s="2352"/>
      <c r="M94" s="2352"/>
      <c r="N94" s="2363"/>
      <c r="O94" s="2352"/>
      <c r="P94" s="2352"/>
      <c r="Q94" s="2352"/>
      <c r="R94" s="2350"/>
      <c r="S94" s="2352"/>
      <c r="T94" s="1370"/>
      <c r="U94" s="1370"/>
      <c r="V94" s="1372"/>
      <c r="W94" s="1223"/>
      <c r="X94" s="1194"/>
      <c r="Y94" s="1194"/>
      <c r="Z94" s="1194"/>
      <c r="AA94" s="1194"/>
      <c r="AB94" s="1194"/>
      <c r="AC94" s="1194" t="s">
        <v>247</v>
      </c>
      <c r="AD94" s="1194" t="s">
        <v>248</v>
      </c>
      <c r="AE94" s="1194" t="s">
        <v>249</v>
      </c>
      <c r="AF94" s="1194" t="s">
        <v>250</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365"/>
      <c r="E95" s="2354"/>
      <c r="F95" s="2368"/>
      <c r="G95" s="2354"/>
      <c r="H95" s="2357"/>
      <c r="I95" s="2359"/>
      <c r="J95" s="2361"/>
      <c r="K95" s="2353"/>
      <c r="L95" s="2353"/>
      <c r="M95" s="2353"/>
      <c r="N95" s="2364"/>
      <c r="O95" s="2353"/>
      <c r="P95" s="2353"/>
      <c r="Q95" s="2353"/>
      <c r="R95" s="2351"/>
      <c r="S95" s="2353"/>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366"/>
      <c r="E96" s="2355"/>
      <c r="F96" s="2368"/>
      <c r="G96" s="2355"/>
      <c r="H96" s="2357"/>
      <c r="I96" s="2359"/>
      <c r="J96" s="2362"/>
      <c r="K96" s="2353"/>
      <c r="L96" s="2353"/>
      <c r="M96" s="2353"/>
      <c r="N96" s="2351"/>
      <c r="O96" s="2353"/>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366"/>
      <c r="E97" s="2355"/>
      <c r="F97" s="2368"/>
      <c r="G97" s="2355"/>
      <c r="H97" s="2357"/>
      <c r="I97" s="2359"/>
      <c r="J97" s="2362"/>
      <c r="K97" s="2353"/>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366"/>
      <c r="E98" s="2355"/>
      <c r="F98" s="2369"/>
      <c r="G98" s="2355"/>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365">
        <v>5</v>
      </c>
      <c r="E99" s="2354" t="s">
        <v>251</v>
      </c>
      <c r="F99" s="2367" t="s">
        <v>19</v>
      </c>
      <c r="G99" s="2354"/>
      <c r="H99" s="2356"/>
      <c r="I99" s="2358"/>
      <c r="J99" s="2360"/>
      <c r="K99" s="2352"/>
      <c r="L99" s="2352"/>
      <c r="M99" s="2352"/>
      <c r="N99" s="2363"/>
      <c r="O99" s="2352"/>
      <c r="P99" s="2352"/>
      <c r="Q99" s="2352"/>
      <c r="R99" s="2350"/>
      <c r="S99" s="2352"/>
      <c r="T99" s="1865"/>
      <c r="U99" s="1865"/>
      <c r="V99" s="1867"/>
      <c r="W99" s="1223"/>
      <c r="X99" s="1194"/>
      <c r="Y99" s="1194"/>
      <c r="Z99" s="1194"/>
      <c r="AA99" s="1194"/>
      <c r="AB99" s="1194"/>
      <c r="AC99" s="1194" t="s">
        <v>252</v>
      </c>
      <c r="AD99" s="1194" t="s">
        <v>253</v>
      </c>
      <c r="AE99" s="1194" t="s">
        <v>254</v>
      </c>
      <c r="AF99" s="1194" t="s">
        <v>255</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365"/>
      <c r="E100" s="2354"/>
      <c r="F100" s="2368"/>
      <c r="G100" s="2354"/>
      <c r="H100" s="2357"/>
      <c r="I100" s="2359"/>
      <c r="J100" s="2361"/>
      <c r="K100" s="2353"/>
      <c r="L100" s="2353"/>
      <c r="M100" s="2353"/>
      <c r="N100" s="2364"/>
      <c r="O100" s="2353"/>
      <c r="P100" s="2353"/>
      <c r="Q100" s="2353"/>
      <c r="R100" s="2351"/>
      <c r="S100" s="2353"/>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366"/>
      <c r="E101" s="2355"/>
      <c r="F101" s="2368"/>
      <c r="G101" s="2355"/>
      <c r="H101" s="2357"/>
      <c r="I101" s="2359"/>
      <c r="J101" s="2362"/>
      <c r="K101" s="2353"/>
      <c r="L101" s="2353"/>
      <c r="M101" s="2353"/>
      <c r="N101" s="2351"/>
      <c r="O101" s="2353"/>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366"/>
      <c r="E102" s="2355"/>
      <c r="F102" s="2368"/>
      <c r="G102" s="2355"/>
      <c r="H102" s="2357"/>
      <c r="I102" s="2359"/>
      <c r="J102" s="2362"/>
      <c r="K102" s="2353"/>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366"/>
      <c r="E103" s="2355"/>
      <c r="F103" s="2369"/>
      <c r="G103" s="2355"/>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365">
        <v>1</v>
      </c>
      <c r="E105" s="2354" t="s">
        <v>256</v>
      </c>
      <c r="F105" s="2367" t="s">
        <v>19</v>
      </c>
      <c r="G105" s="2354"/>
      <c r="H105" s="2356"/>
      <c r="I105" s="2358"/>
      <c r="J105" s="2360"/>
      <c r="K105" s="2352"/>
      <c r="L105" s="2352"/>
      <c r="M105" s="2352"/>
      <c r="N105" s="2363"/>
      <c r="O105" s="2352"/>
      <c r="P105" s="2352"/>
      <c r="Q105" s="2352"/>
      <c r="R105" s="2350"/>
      <c r="S105" s="2352"/>
      <c r="T105" s="1397"/>
      <c r="U105" s="1397"/>
      <c r="V105" s="1399"/>
      <c r="W105" s="1223"/>
      <c r="Y105" s="1194"/>
      <c r="Z105" s="1194"/>
      <c r="AA105" s="1194"/>
      <c r="AB105" s="1194"/>
      <c r="AC105" s="1194" t="s">
        <v>257</v>
      </c>
      <c r="AD105" s="1194" t="s">
        <v>258</v>
      </c>
      <c r="AE105" s="1194" t="s">
        <v>259</v>
      </c>
      <c r="AF105" s="1194" t="s">
        <v>260</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365"/>
      <c r="E106" s="2354"/>
      <c r="F106" s="2368"/>
      <c r="G106" s="2354"/>
      <c r="H106" s="2357"/>
      <c r="I106" s="2359"/>
      <c r="J106" s="2361"/>
      <c r="K106" s="2353"/>
      <c r="L106" s="2353"/>
      <c r="M106" s="2353"/>
      <c r="N106" s="2364"/>
      <c r="O106" s="2353"/>
      <c r="P106" s="2353"/>
      <c r="Q106" s="2353"/>
      <c r="R106" s="2351"/>
      <c r="S106" s="2353"/>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365"/>
      <c r="E107" s="2354"/>
      <c r="F107" s="2368"/>
      <c r="G107" s="2354"/>
      <c r="H107" s="2357"/>
      <c r="I107" s="2359"/>
      <c r="J107" s="2362"/>
      <c r="K107" s="2353"/>
      <c r="L107" s="2353"/>
      <c r="M107" s="2353"/>
      <c r="N107" s="2351"/>
      <c r="O107" s="2353"/>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365"/>
      <c r="E108" s="2354"/>
      <c r="F108" s="2368"/>
      <c r="G108" s="2354"/>
      <c r="H108" s="2357"/>
      <c r="I108" s="2359"/>
      <c r="J108" s="2362"/>
      <c r="K108" s="2353"/>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366"/>
      <c r="E109" s="2355"/>
      <c r="F109" s="2369"/>
      <c r="G109" s="2355"/>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365">
        <v>2</v>
      </c>
      <c r="E110" s="2354" t="s">
        <v>261</v>
      </c>
      <c r="F110" s="2367" t="s">
        <v>19</v>
      </c>
      <c r="G110" s="2354"/>
      <c r="H110" s="2356"/>
      <c r="I110" s="2358"/>
      <c r="J110" s="2360"/>
      <c r="K110" s="2352"/>
      <c r="L110" s="2352"/>
      <c r="M110" s="2352"/>
      <c r="N110" s="2363"/>
      <c r="O110" s="2352"/>
      <c r="P110" s="2352"/>
      <c r="Q110" s="2352"/>
      <c r="R110" s="2350"/>
      <c r="S110" s="2352"/>
      <c r="T110" s="1397"/>
      <c r="U110" s="1397"/>
      <c r="V110" s="1399"/>
      <c r="W110" s="1223"/>
      <c r="X110" s="1194"/>
      <c r="Y110" s="1194"/>
      <c r="Z110" s="1194"/>
      <c r="AA110" s="1194"/>
      <c r="AB110" s="1194"/>
      <c r="AC110" s="1194" t="s">
        <v>262</v>
      </c>
      <c r="AD110" s="1194" t="s">
        <v>263</v>
      </c>
      <c r="AE110" s="1194" t="s">
        <v>264</v>
      </c>
      <c r="AF110" s="1194" t="s">
        <v>265</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365"/>
      <c r="E111" s="2354"/>
      <c r="F111" s="2368"/>
      <c r="G111" s="2354"/>
      <c r="H111" s="2357"/>
      <c r="I111" s="2359"/>
      <c r="J111" s="2361"/>
      <c r="K111" s="2353"/>
      <c r="L111" s="2353"/>
      <c r="M111" s="2353"/>
      <c r="N111" s="2364"/>
      <c r="O111" s="2353"/>
      <c r="P111" s="2353"/>
      <c r="Q111" s="2353"/>
      <c r="R111" s="2351"/>
      <c r="S111" s="2353"/>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366"/>
      <c r="E112" s="2355"/>
      <c r="F112" s="2368"/>
      <c r="G112" s="2355"/>
      <c r="H112" s="2357"/>
      <c r="I112" s="2359"/>
      <c r="J112" s="2362"/>
      <c r="K112" s="2353"/>
      <c r="L112" s="2353"/>
      <c r="M112" s="2353"/>
      <c r="N112" s="2351"/>
      <c r="O112" s="2353"/>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366"/>
      <c r="E113" s="2355"/>
      <c r="F113" s="2368"/>
      <c r="G113" s="2355"/>
      <c r="H113" s="2357"/>
      <c r="I113" s="2359"/>
      <c r="J113" s="2362"/>
      <c r="K113" s="2353"/>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366"/>
      <c r="E114" s="2355"/>
      <c r="F114" s="2369"/>
      <c r="G114" s="2355"/>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365">
        <v>3</v>
      </c>
      <c r="E115" s="2354" t="s">
        <v>266</v>
      </c>
      <c r="F115" s="2367" t="s">
        <v>19</v>
      </c>
      <c r="G115" s="2354"/>
      <c r="H115" s="2356"/>
      <c r="I115" s="2358"/>
      <c r="J115" s="2360"/>
      <c r="K115" s="2352"/>
      <c r="L115" s="2352"/>
      <c r="M115" s="2352"/>
      <c r="N115" s="2363"/>
      <c r="O115" s="2352"/>
      <c r="P115" s="2352"/>
      <c r="Q115" s="2352"/>
      <c r="R115" s="2350"/>
      <c r="S115" s="2352"/>
      <c r="T115" s="1865"/>
      <c r="U115" s="1865"/>
      <c r="V115" s="1867"/>
      <c r="W115" s="1223"/>
      <c r="X115" s="1194"/>
      <c r="Y115" s="1194"/>
      <c r="Z115" s="1194"/>
      <c r="AA115" s="1194"/>
      <c r="AB115" s="1194"/>
      <c r="AC115" s="1194" t="s">
        <v>267</v>
      </c>
      <c r="AD115" s="1194" t="s">
        <v>268</v>
      </c>
      <c r="AE115" s="1194" t="s">
        <v>269</v>
      </c>
      <c r="AF115" s="1194" t="s">
        <v>270</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365"/>
      <c r="E116" s="2354"/>
      <c r="F116" s="2368"/>
      <c r="G116" s="2354"/>
      <c r="H116" s="2357"/>
      <c r="I116" s="2359"/>
      <c r="J116" s="2361"/>
      <c r="K116" s="2353"/>
      <c r="L116" s="2353"/>
      <c r="M116" s="2353"/>
      <c r="N116" s="2364"/>
      <c r="O116" s="2353"/>
      <c r="P116" s="2353"/>
      <c r="Q116" s="2353"/>
      <c r="R116" s="2351"/>
      <c r="S116" s="2353"/>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366"/>
      <c r="E117" s="2355"/>
      <c r="F117" s="2368"/>
      <c r="G117" s="2355"/>
      <c r="H117" s="2357"/>
      <c r="I117" s="2359"/>
      <c r="J117" s="2362"/>
      <c r="K117" s="2353"/>
      <c r="L117" s="2353"/>
      <c r="M117" s="2353"/>
      <c r="N117" s="2351"/>
      <c r="O117" s="2353"/>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366"/>
      <c r="E118" s="2355"/>
      <c r="F118" s="2368"/>
      <c r="G118" s="2355"/>
      <c r="H118" s="2357"/>
      <c r="I118" s="2359"/>
      <c r="J118" s="2362"/>
      <c r="K118" s="2353"/>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366"/>
      <c r="E119" s="2355"/>
      <c r="F119" s="2369"/>
      <c r="G119" s="2355"/>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365">
        <v>1</v>
      </c>
      <c r="E121" s="2354" t="s">
        <v>271</v>
      </c>
      <c r="F121" s="2367" t="s">
        <v>19</v>
      </c>
      <c r="G121" s="2354"/>
      <c r="H121" s="2356"/>
      <c r="I121" s="2358"/>
      <c r="J121" s="2360"/>
      <c r="K121" s="2352"/>
      <c r="L121" s="2352"/>
      <c r="M121" s="2352"/>
      <c r="N121" s="2363"/>
      <c r="O121" s="2352"/>
      <c r="P121" s="2352"/>
      <c r="Q121" s="2352"/>
      <c r="R121" s="2350"/>
      <c r="S121" s="2352"/>
      <c r="T121" s="1397"/>
      <c r="U121" s="1397"/>
      <c r="V121" s="1399"/>
      <c r="W121" s="1223"/>
      <c r="Y121" s="1194"/>
      <c r="Z121" s="1194"/>
      <c r="AA121" s="1194"/>
      <c r="AB121" s="1194"/>
      <c r="AC121" s="1194" t="s">
        <v>272</v>
      </c>
      <c r="AD121" s="1194" t="s">
        <v>273</v>
      </c>
      <c r="AE121" s="1194" t="s">
        <v>274</v>
      </c>
      <c r="AF121" s="1194" t="s">
        <v>275</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365"/>
      <c r="E122" s="2354"/>
      <c r="F122" s="2368"/>
      <c r="G122" s="2354"/>
      <c r="H122" s="2357"/>
      <c r="I122" s="2359"/>
      <c r="J122" s="2361"/>
      <c r="K122" s="2353"/>
      <c r="L122" s="2353"/>
      <c r="M122" s="2353"/>
      <c r="N122" s="2364"/>
      <c r="O122" s="2353"/>
      <c r="P122" s="2353"/>
      <c r="Q122" s="2353"/>
      <c r="R122" s="2351"/>
      <c r="S122" s="2353"/>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365"/>
      <c r="E123" s="2354"/>
      <c r="F123" s="2368"/>
      <c r="G123" s="2354"/>
      <c r="H123" s="2357"/>
      <c r="I123" s="2359"/>
      <c r="J123" s="2362"/>
      <c r="K123" s="2353"/>
      <c r="L123" s="2353"/>
      <c r="M123" s="2353"/>
      <c r="N123" s="2351"/>
      <c r="O123" s="2353"/>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365"/>
      <c r="E124" s="2354"/>
      <c r="F124" s="2368"/>
      <c r="G124" s="2354"/>
      <c r="H124" s="2357"/>
      <c r="I124" s="2359"/>
      <c r="J124" s="2362"/>
      <c r="K124" s="2353"/>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366"/>
      <c r="E125" s="2355"/>
      <c r="F125" s="2369"/>
      <c r="G125" s="2355"/>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365">
        <v>2</v>
      </c>
      <c r="E126" s="2354" t="s">
        <v>276</v>
      </c>
      <c r="F126" s="2367" t="s">
        <v>19</v>
      </c>
      <c r="G126" s="2354"/>
      <c r="H126" s="2356"/>
      <c r="I126" s="2358"/>
      <c r="J126" s="2360"/>
      <c r="K126" s="2352"/>
      <c r="L126" s="2352"/>
      <c r="M126" s="2352"/>
      <c r="N126" s="2363"/>
      <c r="O126" s="2352"/>
      <c r="P126" s="2352"/>
      <c r="Q126" s="2352"/>
      <c r="R126" s="2350"/>
      <c r="S126" s="2352"/>
      <c r="T126" s="1397"/>
      <c r="U126" s="1397"/>
      <c r="V126" s="1399"/>
      <c r="W126" s="1223"/>
      <c r="X126" s="1194"/>
      <c r="Y126" s="1194"/>
      <c r="Z126" s="1194"/>
      <c r="AA126" s="1194"/>
      <c r="AB126" s="1194"/>
      <c r="AC126" s="1194" t="s">
        <v>277</v>
      </c>
      <c r="AD126" s="1194" t="s">
        <v>278</v>
      </c>
      <c r="AE126" s="1194" t="s">
        <v>279</v>
      </c>
      <c r="AF126" s="1194" t="s">
        <v>280</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365"/>
      <c r="E127" s="2354"/>
      <c r="F127" s="2368"/>
      <c r="G127" s="2354"/>
      <c r="H127" s="2357"/>
      <c r="I127" s="2359"/>
      <c r="J127" s="2361"/>
      <c r="K127" s="2353"/>
      <c r="L127" s="2353"/>
      <c r="M127" s="2353"/>
      <c r="N127" s="2364"/>
      <c r="O127" s="2353"/>
      <c r="P127" s="2353"/>
      <c r="Q127" s="2353"/>
      <c r="R127" s="2351"/>
      <c r="S127" s="2353"/>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366"/>
      <c r="E128" s="2355"/>
      <c r="F128" s="2368"/>
      <c r="G128" s="2355"/>
      <c r="H128" s="2357"/>
      <c r="I128" s="2359"/>
      <c r="J128" s="2362"/>
      <c r="K128" s="2353"/>
      <c r="L128" s="2353"/>
      <c r="M128" s="2353"/>
      <c r="N128" s="2351"/>
      <c r="O128" s="2353"/>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366"/>
      <c r="E129" s="2355"/>
      <c r="F129" s="2368"/>
      <c r="G129" s="2355"/>
      <c r="H129" s="2357"/>
      <c r="I129" s="2359"/>
      <c r="J129" s="2362"/>
      <c r="K129" s="2353"/>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366"/>
      <c r="E130" s="2355"/>
      <c r="F130" s="2369"/>
      <c r="G130" s="2355"/>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365">
        <v>3</v>
      </c>
      <c r="E131" s="2354" t="s">
        <v>281</v>
      </c>
      <c r="F131" s="2367" t="s">
        <v>19</v>
      </c>
      <c r="G131" s="2354"/>
      <c r="H131" s="2356"/>
      <c r="I131" s="2358"/>
      <c r="J131" s="2360"/>
      <c r="K131" s="2352"/>
      <c r="L131" s="2352"/>
      <c r="M131" s="2352"/>
      <c r="N131" s="2363"/>
      <c r="O131" s="2352"/>
      <c r="P131" s="2352"/>
      <c r="Q131" s="2352"/>
      <c r="R131" s="2350"/>
      <c r="S131" s="2352"/>
      <c r="T131" s="1865"/>
      <c r="U131" s="1865"/>
      <c r="V131" s="1867"/>
      <c r="W131" s="1223"/>
      <c r="X131" s="1194"/>
      <c r="Y131" s="1194"/>
      <c r="Z131" s="1194"/>
      <c r="AA131" s="1194"/>
      <c r="AB131" s="1194"/>
      <c r="AC131" s="1194" t="s">
        <v>282</v>
      </c>
      <c r="AD131" s="1194" t="s">
        <v>283</v>
      </c>
      <c r="AE131" s="1194" t="s">
        <v>284</v>
      </c>
      <c r="AF131" s="1194" t="s">
        <v>285</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365"/>
      <c r="E132" s="2354"/>
      <c r="F132" s="2368"/>
      <c r="G132" s="2354"/>
      <c r="H132" s="2357"/>
      <c r="I132" s="2359"/>
      <c r="J132" s="2361"/>
      <c r="K132" s="2353"/>
      <c r="L132" s="2353"/>
      <c r="M132" s="2353"/>
      <c r="N132" s="2364"/>
      <c r="O132" s="2353"/>
      <c r="P132" s="2353"/>
      <c r="Q132" s="2353"/>
      <c r="R132" s="2351"/>
      <c r="S132" s="2353"/>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366"/>
      <c r="E133" s="2355"/>
      <c r="F133" s="2368"/>
      <c r="G133" s="2355"/>
      <c r="H133" s="2357"/>
      <c r="I133" s="2359"/>
      <c r="J133" s="2362"/>
      <c r="K133" s="2353"/>
      <c r="L133" s="2353"/>
      <c r="M133" s="2353"/>
      <c r="N133" s="2351"/>
      <c r="O133" s="2353"/>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366"/>
      <c r="E134" s="2355"/>
      <c r="F134" s="2368"/>
      <c r="G134" s="2355"/>
      <c r="H134" s="2357"/>
      <c r="I134" s="2359"/>
      <c r="J134" s="2362"/>
      <c r="K134" s="2353"/>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366"/>
      <c r="E135" s="2355"/>
      <c r="F135" s="2369"/>
      <c r="G135" s="2355"/>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83</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S18:S19"/>
    <mergeCell ref="P18:P19"/>
    <mergeCell ref="Q18:Q19"/>
    <mergeCell ref="R18:R19"/>
    <mergeCell ref="K18:K21"/>
    <mergeCell ref="M18:M20"/>
    <mergeCell ref="L18:L20"/>
    <mergeCell ref="N18:N20"/>
    <mergeCell ref="J18:J21"/>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L48:L50"/>
    <mergeCell ref="D33:D37"/>
    <mergeCell ref="E33:E37"/>
    <mergeCell ref="F33:F37"/>
    <mergeCell ref="P43:P44"/>
    <mergeCell ref="O38:O40"/>
    <mergeCell ref="Q43:Q44"/>
    <mergeCell ref="R43:R44"/>
    <mergeCell ref="O43:O45"/>
    <mergeCell ref="O33:O35"/>
    <mergeCell ref="P33:P34"/>
    <mergeCell ref="Q33:Q34"/>
    <mergeCell ref="R33:R34"/>
    <mergeCell ref="K33:K36"/>
    <mergeCell ref="M33:M35"/>
    <mergeCell ref="L33:L35"/>
    <mergeCell ref="N33:N35"/>
    <mergeCell ref="J33:J36"/>
    <mergeCell ref="H33:H36"/>
    <mergeCell ref="I33:I36"/>
    <mergeCell ref="D38:D42"/>
    <mergeCell ref="D48:D52"/>
    <mergeCell ref="E48:E52"/>
    <mergeCell ref="F48:F52"/>
    <mergeCell ref="G48:G52"/>
    <mergeCell ref="H48:H51"/>
    <mergeCell ref="I48:I51"/>
    <mergeCell ref="J48:J51"/>
    <mergeCell ref="K48:K51"/>
    <mergeCell ref="E43:E47"/>
    <mergeCell ref="F43:F47"/>
    <mergeCell ref="H43:H46"/>
    <mergeCell ref="G43:G47"/>
    <mergeCell ref="G33:G37"/>
    <mergeCell ref="S38:S39"/>
    <mergeCell ref="S43:S44"/>
    <mergeCell ref="E38:E42"/>
    <mergeCell ref="F38:F42"/>
    <mergeCell ref="H38:H41"/>
    <mergeCell ref="P38:P39"/>
    <mergeCell ref="Q38:Q39"/>
    <mergeCell ref="R38:R39"/>
    <mergeCell ref="S33:S34"/>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6">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S33:S34 O33 K33 S18:S19 O18 K18" xr:uid="{00000000-0002-0000-0400-000000000000}"/>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V33:W33 R33:R34 J33:J34 V18:W18 R18:R19 J18:J19"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N35 N18:N20" xr:uid="{00000000-0002-0000-0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9737B-54B3-7C9F-FB37-E94F6F357639}">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286</v>
      </c>
      <c r="M2" s="1480" t="s">
        <v>287</v>
      </c>
      <c r="R2" s="1480" t="s">
        <v>288</v>
      </c>
      <c r="S2" s="1480" t="s">
        <v>287</v>
      </c>
      <c r="X2" s="1480" t="s">
        <v>286</v>
      </c>
      <c r="Y2" s="1480" t="s">
        <v>287</v>
      </c>
      <c r="AD2" s="1480" t="s">
        <v>286</v>
      </c>
      <c r="AE2" s="1480" t="s">
        <v>287</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400" t="s">
        <v>289</v>
      </c>
      <c r="E4" s="2400"/>
      <c r="F4" s="2400"/>
      <c r="G4" s="2400"/>
      <c r="H4" s="2400"/>
      <c r="I4" s="2400"/>
      <c r="J4" s="2400"/>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421" t="str">
        <f>IF(org=0,"Не определено",org)</f>
        <v>МУП "Городские тепловые сети" МО  "город Курчатов"</v>
      </c>
      <c r="E5" s="2421"/>
      <c r="F5" s="2421"/>
      <c r="G5" s="2421"/>
      <c r="H5" s="2421"/>
      <c r="I5" s="2421"/>
      <c r="J5" s="2421"/>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332" t="s">
        <v>89</v>
      </c>
      <c r="E8" s="2332" t="s">
        <v>106</v>
      </c>
      <c r="F8" s="2402" t="s">
        <v>123</v>
      </c>
      <c r="G8" s="2403"/>
      <c r="H8" s="2402" t="s">
        <v>89</v>
      </c>
      <c r="I8" s="2403"/>
      <c r="J8" s="2332" t="s">
        <v>124</v>
      </c>
      <c r="K8" s="1483"/>
      <c r="L8" s="2401" t="s">
        <v>290</v>
      </c>
      <c r="M8" s="2401"/>
      <c r="N8" s="2401"/>
      <c r="O8" s="2401"/>
      <c r="P8" s="2401"/>
      <c r="Q8" s="1484"/>
      <c r="R8" s="2314" t="s">
        <v>291</v>
      </c>
      <c r="S8" s="2319"/>
      <c r="T8" s="2319"/>
      <c r="U8" s="2319"/>
      <c r="V8" s="2319"/>
      <c r="W8" s="1484"/>
      <c r="X8" s="2332" t="s">
        <v>292</v>
      </c>
      <c r="Y8" s="2332"/>
      <c r="Z8" s="2332"/>
      <c r="AA8" s="2332"/>
      <c r="AB8" s="2332"/>
      <c r="AC8" s="1485"/>
      <c r="AD8" s="2332" t="s">
        <v>293</v>
      </c>
      <c r="AE8" s="2332"/>
      <c r="AF8" s="2332"/>
      <c r="AG8" s="2332"/>
      <c r="AH8" s="2314"/>
      <c r="AI8" s="2332" t="s">
        <v>294</v>
      </c>
      <c r="AJ8" s="1501"/>
      <c r="BM8" s="231">
        <v>32</v>
      </c>
    </row>
    <row r="9" spans="1:65" ht="23.25" customHeight="1">
      <c r="D9" s="2332"/>
      <c r="E9" s="2332"/>
      <c r="F9" s="2401" t="s">
        <v>90</v>
      </c>
      <c r="G9" s="2401" t="s">
        <v>129</v>
      </c>
      <c r="H9" s="2404"/>
      <c r="I9" s="2405"/>
      <c r="J9" s="2314"/>
      <c r="K9" s="1486"/>
      <c r="L9" s="2332" t="s">
        <v>295</v>
      </c>
      <c r="M9" s="2314"/>
      <c r="N9" s="2402" t="s">
        <v>89</v>
      </c>
      <c r="O9" s="2403"/>
      <c r="P9" s="2332" t="s">
        <v>130</v>
      </c>
      <c r="Q9" s="1483"/>
      <c r="R9" s="2332" t="s">
        <v>295</v>
      </c>
      <c r="S9" s="2314"/>
      <c r="T9" s="2402" t="s">
        <v>89</v>
      </c>
      <c r="U9" s="2403"/>
      <c r="V9" s="2332" t="s">
        <v>130</v>
      </c>
      <c r="W9" s="1483"/>
      <c r="X9" s="2332" t="s">
        <v>295</v>
      </c>
      <c r="Y9" s="2314"/>
      <c r="Z9" s="2402" t="s">
        <v>89</v>
      </c>
      <c r="AA9" s="2403"/>
      <c r="AB9" s="2332" t="s">
        <v>296</v>
      </c>
      <c r="AC9" s="1483"/>
      <c r="AD9" s="2332" t="s">
        <v>295</v>
      </c>
      <c r="AE9" s="2314"/>
      <c r="AF9" s="2402" t="s">
        <v>89</v>
      </c>
      <c r="AG9" s="2403"/>
      <c r="AH9" s="2314" t="s">
        <v>296</v>
      </c>
      <c r="AI9" s="2332"/>
      <c r="AJ9" s="1501"/>
      <c r="BM9" s="231">
        <v>22</v>
      </c>
    </row>
    <row r="10" spans="1:65" ht="24" customHeight="1">
      <c r="D10" s="2401"/>
      <c r="E10" s="2401"/>
      <c r="F10" s="2406"/>
      <c r="G10" s="2406"/>
      <c r="H10" s="2407"/>
      <c r="I10" s="2408"/>
      <c r="J10" s="2402"/>
      <c r="K10" s="1486"/>
      <c r="L10" s="1505" t="s">
        <v>297</v>
      </c>
      <c r="M10" s="1500" t="s">
        <v>298</v>
      </c>
      <c r="N10" s="2404"/>
      <c r="O10" s="2405"/>
      <c r="P10" s="2401"/>
      <c r="Q10" s="1483"/>
      <c r="R10" s="1505" t="s">
        <v>297</v>
      </c>
      <c r="S10" s="1500" t="s">
        <v>298</v>
      </c>
      <c r="T10" s="2404"/>
      <c r="U10" s="2405"/>
      <c r="V10" s="2401"/>
      <c r="W10" s="1483"/>
      <c r="X10" s="1505" t="s">
        <v>297</v>
      </c>
      <c r="Y10" s="1500" t="s">
        <v>298</v>
      </c>
      <c r="Z10" s="2404"/>
      <c r="AA10" s="2405"/>
      <c r="AB10" s="2401"/>
      <c r="AC10" s="1483"/>
      <c r="AD10" s="1505" t="s">
        <v>297</v>
      </c>
      <c r="AE10" s="1500" t="s">
        <v>298</v>
      </c>
      <c r="AF10" s="2404"/>
      <c r="AG10" s="2405"/>
      <c r="AH10" s="2402"/>
      <c r="AI10" s="2401"/>
      <c r="AJ10" s="1501"/>
      <c r="AK10" s="192" t="s">
        <v>299</v>
      </c>
      <c r="AL10" s="192" t="s">
        <v>131</v>
      </c>
      <c r="BM10" s="231">
        <v>23</v>
      </c>
    </row>
    <row r="11" spans="1:65" ht="15" customHeight="1">
      <c r="D11" s="2409" t="s">
        <v>110</v>
      </c>
      <c r="E11" s="2411" t="s">
        <v>300</v>
      </c>
      <c r="F11" s="2411" t="s">
        <v>301</v>
      </c>
      <c r="G11" s="2392" t="s">
        <v>19</v>
      </c>
      <c r="H11" s="1526"/>
      <c r="I11" s="2414"/>
      <c r="J11" s="2360"/>
      <c r="K11" s="1441"/>
      <c r="L11" s="2352"/>
      <c r="M11" s="2352"/>
      <c r="N11" s="1511"/>
      <c r="O11" s="2352"/>
      <c r="P11" s="2360"/>
      <c r="Q11" s="1512"/>
      <c r="R11" s="2352"/>
      <c r="S11" s="2352"/>
      <c r="T11" s="1513"/>
      <c r="U11" s="2352"/>
      <c r="V11" s="2360"/>
      <c r="W11" s="1514"/>
      <c r="X11" s="2352"/>
      <c r="Y11" s="2352"/>
      <c r="Z11" s="1511"/>
      <c r="AA11" s="2352"/>
      <c r="AB11" s="2360"/>
      <c r="AC11" s="1515"/>
      <c r="AD11" s="2352"/>
      <c r="AE11" s="2352"/>
      <c r="AF11" s="1440"/>
      <c r="AG11" s="1440"/>
      <c r="AH11" s="1516"/>
      <c r="AI11" s="1223"/>
      <c r="AJ11" s="1501"/>
      <c r="BM11" s="231">
        <v>14</v>
      </c>
    </row>
    <row r="12" spans="1:65" ht="14.65" customHeight="1">
      <c r="D12" s="2409"/>
      <c r="E12" s="2411"/>
      <c r="F12" s="2411"/>
      <c r="G12" s="2393"/>
      <c r="H12" s="1527"/>
      <c r="I12" s="2415"/>
      <c r="J12" s="2361"/>
      <c r="K12" s="1537"/>
      <c r="L12" s="2353"/>
      <c r="M12" s="2353"/>
      <c r="N12" s="1517"/>
      <c r="O12" s="2353"/>
      <c r="P12" s="2361"/>
      <c r="Q12" s="1518"/>
      <c r="R12" s="2353"/>
      <c r="S12" s="2353"/>
      <c r="T12" s="1519"/>
      <c r="U12" s="2353"/>
      <c r="V12" s="2361"/>
      <c r="W12" s="1520"/>
      <c r="X12" s="2353"/>
      <c r="Y12" s="2353"/>
      <c r="Z12" s="1517"/>
      <c r="AA12" s="2353"/>
      <c r="AB12" s="2361"/>
      <c r="AC12" s="1521"/>
      <c r="AD12" s="2353"/>
      <c r="AE12" s="2353"/>
      <c r="AF12" s="1522"/>
      <c r="AG12" s="1522"/>
      <c r="AH12" s="2418"/>
      <c r="AI12" s="2419"/>
      <c r="AJ12" s="1501"/>
      <c r="BM12" s="231">
        <v>14</v>
      </c>
    </row>
    <row r="13" spans="1:65" ht="14.65" customHeight="1">
      <c r="D13" s="2409"/>
      <c r="E13" s="2411"/>
      <c r="F13" s="2411"/>
      <c r="G13" s="2393"/>
      <c r="H13" s="1527"/>
      <c r="I13" s="2415"/>
      <c r="J13" s="2361"/>
      <c r="K13" s="1537"/>
      <c r="L13" s="2353"/>
      <c r="M13" s="2353"/>
      <c r="N13" s="1517"/>
      <c r="O13" s="2353"/>
      <c r="P13" s="2361"/>
      <c r="Q13" s="1518"/>
      <c r="R13" s="2353"/>
      <c r="S13" s="2353"/>
      <c r="T13" s="1519"/>
      <c r="U13" s="2353"/>
      <c r="V13" s="2361"/>
      <c r="W13" s="1520"/>
      <c r="X13" s="2353"/>
      <c r="Y13" s="2353"/>
      <c r="Z13" s="1439"/>
      <c r="AA13" s="1522"/>
      <c r="AB13" s="2418"/>
      <c r="AC13" s="2418"/>
      <c r="AD13" s="2418"/>
      <c r="AE13" s="2418"/>
      <c r="AF13" s="2418"/>
      <c r="AG13" s="2418"/>
      <c r="AH13" s="2418"/>
      <c r="AI13" s="2419"/>
      <c r="AJ13" s="1501"/>
      <c r="BM13" s="231">
        <v>14</v>
      </c>
    </row>
    <row r="14" spans="1:65" ht="14.65" customHeight="1">
      <c r="D14" s="2409"/>
      <c r="E14" s="2411"/>
      <c r="F14" s="2411"/>
      <c r="G14" s="2393"/>
      <c r="H14" s="1527"/>
      <c r="I14" s="2415"/>
      <c r="J14" s="2361"/>
      <c r="K14" s="1537"/>
      <c r="L14" s="2353"/>
      <c r="M14" s="2353"/>
      <c r="N14" s="1517"/>
      <c r="O14" s="2353"/>
      <c r="P14" s="2361"/>
      <c r="Q14" s="1518"/>
      <c r="R14" s="2353"/>
      <c r="S14" s="2353"/>
      <c r="T14" s="1523"/>
      <c r="U14" s="1524"/>
      <c r="V14" s="2418"/>
      <c r="W14" s="2418"/>
      <c r="X14" s="2418"/>
      <c r="Y14" s="2418"/>
      <c r="Z14" s="2418"/>
      <c r="AA14" s="2418"/>
      <c r="AB14" s="2418"/>
      <c r="AC14" s="2418"/>
      <c r="AD14" s="2418"/>
      <c r="AE14" s="2418"/>
      <c r="AF14" s="2418"/>
      <c r="AG14" s="2418"/>
      <c r="AH14" s="2418"/>
      <c r="AI14" s="2419"/>
      <c r="AJ14" s="1501"/>
      <c r="BM14" s="231">
        <v>14</v>
      </c>
    </row>
    <row r="15" spans="1:65" ht="11.45" customHeight="1">
      <c r="D15" s="2409"/>
      <c r="E15" s="2411"/>
      <c r="F15" s="2411"/>
      <c r="G15" s="2393"/>
      <c r="H15" s="1528"/>
      <c r="I15" s="2415"/>
      <c r="J15" s="2361"/>
      <c r="K15" s="1537"/>
      <c r="L15" s="2353"/>
      <c r="M15" s="2353"/>
      <c r="N15" s="1522"/>
      <c r="O15" s="1522"/>
      <c r="P15" s="2418"/>
      <c r="Q15" s="2418"/>
      <c r="R15" s="2418"/>
      <c r="S15" s="2418"/>
      <c r="T15" s="2418"/>
      <c r="U15" s="2418"/>
      <c r="V15" s="2418"/>
      <c r="W15" s="2418"/>
      <c r="X15" s="2418"/>
      <c r="Y15" s="2418"/>
      <c r="Z15" s="2418"/>
      <c r="AA15" s="2418"/>
      <c r="AB15" s="2418"/>
      <c r="AC15" s="2418"/>
      <c r="AD15" s="2418"/>
      <c r="AE15" s="2418"/>
      <c r="AF15" s="2418"/>
      <c r="AG15" s="2418"/>
      <c r="AH15" s="2418"/>
      <c r="AI15" s="2419"/>
      <c r="AJ15" s="1501"/>
      <c r="BM15" s="231">
        <v>11</v>
      </c>
    </row>
    <row r="16" spans="1:65" s="1481" customFormat="1" ht="11.45" customHeight="1">
      <c r="D16" s="2410"/>
      <c r="E16" s="2412"/>
      <c r="F16" s="2413"/>
      <c r="G16" s="2347"/>
      <c r="H16" s="1525"/>
      <c r="I16" s="1529"/>
      <c r="J16" s="2416"/>
      <c r="K16" s="2416"/>
      <c r="L16" s="2416"/>
      <c r="M16" s="2416"/>
      <c r="N16" s="2416"/>
      <c r="O16" s="2416"/>
      <c r="P16" s="2416"/>
      <c r="Q16" s="2416"/>
      <c r="R16" s="2416"/>
      <c r="S16" s="2416"/>
      <c r="T16" s="2416"/>
      <c r="U16" s="2416"/>
      <c r="V16" s="2416"/>
      <c r="W16" s="2416"/>
      <c r="X16" s="2416"/>
      <c r="Y16" s="2416"/>
      <c r="Z16" s="2416"/>
      <c r="AA16" s="2416"/>
      <c r="AB16" s="2416"/>
      <c r="AC16" s="2416"/>
      <c r="AD16" s="2416"/>
      <c r="AE16" s="2416"/>
      <c r="AF16" s="2416"/>
      <c r="AG16" s="2416"/>
      <c r="AH16" s="2416"/>
      <c r="AI16" s="2417"/>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409" t="s">
        <v>111</v>
      </c>
      <c r="E17" s="2411" t="s">
        <v>300</v>
      </c>
      <c r="F17" s="2411" t="s">
        <v>302</v>
      </c>
      <c r="G17" s="2392" t="s">
        <v>19</v>
      </c>
      <c r="H17" s="1526"/>
      <c r="I17" s="2414"/>
      <c r="J17" s="2360"/>
      <c r="K17" s="1441"/>
      <c r="L17" s="2352"/>
      <c r="M17" s="2352"/>
      <c r="N17" s="1511"/>
      <c r="O17" s="2352"/>
      <c r="P17" s="2360"/>
      <c r="Q17" s="1512"/>
      <c r="R17" s="2352"/>
      <c r="S17" s="2352"/>
      <c r="T17" s="1513"/>
      <c r="U17" s="2352"/>
      <c r="V17" s="2360"/>
      <c r="W17" s="1514"/>
      <c r="X17" s="2352"/>
      <c r="Y17" s="2352"/>
      <c r="Z17" s="1511"/>
      <c r="AA17" s="2352"/>
      <c r="AB17" s="2360"/>
      <c r="AC17" s="1515"/>
      <c r="AD17" s="2352"/>
      <c r="AE17" s="2352"/>
      <c r="AF17" s="1440"/>
      <c r="AG17" s="1440"/>
      <c r="AH17" s="1516"/>
      <c r="AI17" s="1223"/>
      <c r="AJ17" s="1501"/>
      <c r="BM17" s="231">
        <v>14</v>
      </c>
    </row>
    <row r="18" spans="4:65" ht="14.65" customHeight="1">
      <c r="D18" s="2409"/>
      <c r="E18" s="2411"/>
      <c r="F18" s="2411"/>
      <c r="G18" s="2393"/>
      <c r="H18" s="1527"/>
      <c r="I18" s="2415"/>
      <c r="J18" s="2361"/>
      <c r="K18" s="1510"/>
      <c r="L18" s="2353"/>
      <c r="M18" s="2353"/>
      <c r="N18" s="1517"/>
      <c r="O18" s="2353"/>
      <c r="P18" s="2361"/>
      <c r="Q18" s="1518"/>
      <c r="R18" s="2353"/>
      <c r="S18" s="2353"/>
      <c r="T18" s="1519"/>
      <c r="U18" s="2353"/>
      <c r="V18" s="2361"/>
      <c r="W18" s="1520"/>
      <c r="X18" s="2353"/>
      <c r="Y18" s="2353"/>
      <c r="Z18" s="1517"/>
      <c r="AA18" s="2353"/>
      <c r="AB18" s="2361"/>
      <c r="AC18" s="1521"/>
      <c r="AD18" s="2353"/>
      <c r="AE18" s="2353"/>
      <c r="AF18" s="1522"/>
      <c r="AG18" s="1522"/>
      <c r="AH18" s="2418"/>
      <c r="AI18" s="2419"/>
      <c r="AJ18" s="1501"/>
      <c r="BM18" s="231">
        <v>14</v>
      </c>
    </row>
    <row r="19" spans="4:65" ht="14.65" customHeight="1">
      <c r="D19" s="2409"/>
      <c r="E19" s="2411"/>
      <c r="F19" s="2411"/>
      <c r="G19" s="2393"/>
      <c r="H19" s="1527"/>
      <c r="I19" s="2415"/>
      <c r="J19" s="2361"/>
      <c r="K19" s="1510"/>
      <c r="L19" s="2353"/>
      <c r="M19" s="2353"/>
      <c r="N19" s="1517"/>
      <c r="O19" s="2353"/>
      <c r="P19" s="2361"/>
      <c r="Q19" s="1518"/>
      <c r="R19" s="2353"/>
      <c r="S19" s="2353"/>
      <c r="T19" s="1519"/>
      <c r="U19" s="2353"/>
      <c r="V19" s="2361"/>
      <c r="W19" s="1520"/>
      <c r="X19" s="2353"/>
      <c r="Y19" s="2353"/>
      <c r="Z19" s="1439"/>
      <c r="AA19" s="1522"/>
      <c r="AB19" s="2418"/>
      <c r="AC19" s="2418"/>
      <c r="AD19" s="2418"/>
      <c r="AE19" s="2418"/>
      <c r="AF19" s="2418"/>
      <c r="AG19" s="2418"/>
      <c r="AH19" s="2418"/>
      <c r="AI19" s="2419"/>
      <c r="AJ19" s="1501"/>
      <c r="BM19" s="231">
        <v>14</v>
      </c>
    </row>
    <row r="20" spans="4:65" ht="14.65" customHeight="1">
      <c r="D20" s="2409"/>
      <c r="E20" s="2411"/>
      <c r="F20" s="2411"/>
      <c r="G20" s="2393"/>
      <c r="H20" s="1527"/>
      <c r="I20" s="2415"/>
      <c r="J20" s="2361"/>
      <c r="K20" s="1510"/>
      <c r="L20" s="2353"/>
      <c r="M20" s="2353"/>
      <c r="N20" s="1517"/>
      <c r="O20" s="2353"/>
      <c r="P20" s="2361"/>
      <c r="Q20" s="1518"/>
      <c r="R20" s="2353"/>
      <c r="S20" s="2353"/>
      <c r="T20" s="1523"/>
      <c r="U20" s="1524"/>
      <c r="V20" s="2418"/>
      <c r="W20" s="2418"/>
      <c r="X20" s="2418"/>
      <c r="Y20" s="2418"/>
      <c r="Z20" s="2418"/>
      <c r="AA20" s="2418"/>
      <c r="AB20" s="2418"/>
      <c r="AC20" s="2418"/>
      <c r="AD20" s="2418"/>
      <c r="AE20" s="2418"/>
      <c r="AF20" s="2418"/>
      <c r="AG20" s="2418"/>
      <c r="AH20" s="2418"/>
      <c r="AI20" s="2419"/>
      <c r="AJ20" s="1501"/>
      <c r="BM20" s="231">
        <v>14</v>
      </c>
    </row>
    <row r="21" spans="4:65" ht="11.45" customHeight="1">
      <c r="D21" s="2409"/>
      <c r="E21" s="2411"/>
      <c r="F21" s="2411"/>
      <c r="G21" s="2393"/>
      <c r="H21" s="1528"/>
      <c r="I21" s="2415"/>
      <c r="J21" s="2361"/>
      <c r="K21" s="1510"/>
      <c r="L21" s="2353"/>
      <c r="M21" s="2353"/>
      <c r="N21" s="1522"/>
      <c r="O21" s="1522"/>
      <c r="P21" s="2418"/>
      <c r="Q21" s="2418"/>
      <c r="R21" s="2418"/>
      <c r="S21" s="2418"/>
      <c r="T21" s="2418"/>
      <c r="U21" s="2418"/>
      <c r="V21" s="2418"/>
      <c r="W21" s="2418"/>
      <c r="X21" s="2418"/>
      <c r="Y21" s="2418"/>
      <c r="Z21" s="2418"/>
      <c r="AA21" s="2418"/>
      <c r="AB21" s="2418"/>
      <c r="AC21" s="2418"/>
      <c r="AD21" s="2418"/>
      <c r="AE21" s="2418"/>
      <c r="AF21" s="2418"/>
      <c r="AG21" s="2418"/>
      <c r="AH21" s="2418"/>
      <c r="AI21" s="2419"/>
      <c r="AJ21" s="1501"/>
      <c r="BM21" s="231">
        <v>11</v>
      </c>
    </row>
    <row r="22" spans="4:65" s="1481" customFormat="1" ht="11.45" customHeight="1">
      <c r="D22" s="2410"/>
      <c r="E22" s="2412"/>
      <c r="F22" s="2413"/>
      <c r="G22" s="2347"/>
      <c r="H22" s="1525"/>
      <c r="I22" s="1529"/>
      <c r="J22" s="2416"/>
      <c r="K22" s="2416"/>
      <c r="L22" s="2416"/>
      <c r="M22" s="2416"/>
      <c r="N22" s="2416"/>
      <c r="O22" s="2416"/>
      <c r="P22" s="2416"/>
      <c r="Q22" s="2416"/>
      <c r="R22" s="2416"/>
      <c r="S22" s="2416"/>
      <c r="T22" s="2416"/>
      <c r="U22" s="2416"/>
      <c r="V22" s="2416"/>
      <c r="W22" s="2416"/>
      <c r="X22" s="2416"/>
      <c r="Y22" s="2416"/>
      <c r="Z22" s="2416"/>
      <c r="AA22" s="2416"/>
      <c r="AB22" s="2416"/>
      <c r="AC22" s="2416"/>
      <c r="AD22" s="2416"/>
      <c r="AE22" s="2416"/>
      <c r="AF22" s="2416"/>
      <c r="AG22" s="2416"/>
      <c r="AH22" s="2416"/>
      <c r="AI22" s="2417"/>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409" t="s">
        <v>91</v>
      </c>
      <c r="E23" s="2411" t="s">
        <v>300</v>
      </c>
      <c r="F23" s="2411" t="s">
        <v>303</v>
      </c>
      <c r="G23" s="2392" t="s">
        <v>19</v>
      </c>
      <c r="H23" s="1526"/>
      <c r="I23" s="2414"/>
      <c r="J23" s="2360"/>
      <c r="K23" s="1441"/>
      <c r="L23" s="2352"/>
      <c r="M23" s="2352"/>
      <c r="N23" s="1511"/>
      <c r="O23" s="2352"/>
      <c r="P23" s="2360"/>
      <c r="Q23" s="1512"/>
      <c r="R23" s="2352"/>
      <c r="S23" s="2352"/>
      <c r="T23" s="1513"/>
      <c r="U23" s="2352"/>
      <c r="V23" s="2360"/>
      <c r="W23" s="1514"/>
      <c r="X23" s="2352"/>
      <c r="Y23" s="2352"/>
      <c r="Z23" s="1511"/>
      <c r="AA23" s="2352"/>
      <c r="AB23" s="2360"/>
      <c r="AC23" s="1515"/>
      <c r="AD23" s="2352"/>
      <c r="AE23" s="2352"/>
      <c r="AF23" s="1440"/>
      <c r="AG23" s="1440"/>
      <c r="AH23" s="1516"/>
      <c r="AI23" s="1223"/>
      <c r="AJ23" s="1501"/>
      <c r="AK23" s="244" t="s">
        <v>99</v>
      </c>
      <c r="BM23" s="231">
        <v>14</v>
      </c>
    </row>
    <row r="24" spans="4:65" ht="14.65" customHeight="1">
      <c r="D24" s="2409"/>
      <c r="E24" s="2411"/>
      <c r="F24" s="2411"/>
      <c r="G24" s="2393"/>
      <c r="H24" s="1527"/>
      <c r="I24" s="2415"/>
      <c r="J24" s="2361"/>
      <c r="K24" s="1537"/>
      <c r="L24" s="2353"/>
      <c r="M24" s="2353"/>
      <c r="N24" s="1517"/>
      <c r="O24" s="2353"/>
      <c r="P24" s="2361"/>
      <c r="Q24" s="1518"/>
      <c r="R24" s="2353"/>
      <c r="S24" s="2353"/>
      <c r="T24" s="1519"/>
      <c r="U24" s="2353"/>
      <c r="V24" s="2361"/>
      <c r="W24" s="1520"/>
      <c r="X24" s="2353"/>
      <c r="Y24" s="2353"/>
      <c r="Z24" s="1517"/>
      <c r="AA24" s="2353"/>
      <c r="AB24" s="2361"/>
      <c r="AC24" s="1521"/>
      <c r="AD24" s="2353"/>
      <c r="AE24" s="2353"/>
      <c r="AF24" s="1522"/>
      <c r="AG24" s="1522"/>
      <c r="AH24" s="2418"/>
      <c r="AI24" s="2419"/>
      <c r="AJ24" s="1501"/>
      <c r="BM24" s="231">
        <v>14</v>
      </c>
    </row>
    <row r="25" spans="4:65" ht="14.65" customHeight="1">
      <c r="D25" s="2409"/>
      <c r="E25" s="2411"/>
      <c r="F25" s="2411"/>
      <c r="G25" s="2393"/>
      <c r="H25" s="1527"/>
      <c r="I25" s="2415"/>
      <c r="J25" s="2361"/>
      <c r="K25" s="1537"/>
      <c r="L25" s="2353"/>
      <c r="M25" s="2353"/>
      <c r="N25" s="1517"/>
      <c r="O25" s="2353"/>
      <c r="P25" s="2361"/>
      <c r="Q25" s="1518"/>
      <c r="R25" s="2353"/>
      <c r="S25" s="2353"/>
      <c r="T25" s="1519"/>
      <c r="U25" s="2353"/>
      <c r="V25" s="2361"/>
      <c r="W25" s="1520"/>
      <c r="X25" s="2353"/>
      <c r="Y25" s="2353"/>
      <c r="Z25" s="1439"/>
      <c r="AA25" s="1522"/>
      <c r="AB25" s="2418"/>
      <c r="AC25" s="2418"/>
      <c r="AD25" s="2418"/>
      <c r="AE25" s="2418"/>
      <c r="AF25" s="2418"/>
      <c r="AG25" s="2418"/>
      <c r="AH25" s="2418"/>
      <c r="AI25" s="2419"/>
      <c r="AJ25" s="1501"/>
      <c r="BM25" s="231">
        <v>14</v>
      </c>
    </row>
    <row r="26" spans="4:65" ht="14.65" customHeight="1">
      <c r="D26" s="2409"/>
      <c r="E26" s="2411"/>
      <c r="F26" s="2411"/>
      <c r="G26" s="2393"/>
      <c r="H26" s="1527"/>
      <c r="I26" s="2415"/>
      <c r="J26" s="2361"/>
      <c r="K26" s="1537"/>
      <c r="L26" s="2353"/>
      <c r="M26" s="2353"/>
      <c r="N26" s="1517"/>
      <c r="O26" s="2353"/>
      <c r="P26" s="2361"/>
      <c r="Q26" s="1518"/>
      <c r="R26" s="2353"/>
      <c r="S26" s="2353"/>
      <c r="T26" s="1523"/>
      <c r="U26" s="1524"/>
      <c r="V26" s="2418"/>
      <c r="W26" s="2418"/>
      <c r="X26" s="2418"/>
      <c r="Y26" s="2418"/>
      <c r="Z26" s="2418"/>
      <c r="AA26" s="2418"/>
      <c r="AB26" s="2418"/>
      <c r="AC26" s="2418"/>
      <c r="AD26" s="2418"/>
      <c r="AE26" s="2418"/>
      <c r="AF26" s="2418"/>
      <c r="AG26" s="2418"/>
      <c r="AH26" s="2418"/>
      <c r="AI26" s="2419"/>
      <c r="AJ26" s="1501"/>
      <c r="BM26" s="231">
        <v>14</v>
      </c>
    </row>
    <row r="27" spans="4:65" ht="11.45" customHeight="1">
      <c r="D27" s="2409"/>
      <c r="E27" s="2411"/>
      <c r="F27" s="2411"/>
      <c r="G27" s="2393"/>
      <c r="H27" s="1528"/>
      <c r="I27" s="2415"/>
      <c r="J27" s="2361"/>
      <c r="K27" s="1537"/>
      <c r="L27" s="2353"/>
      <c r="M27" s="2353"/>
      <c r="N27" s="1522"/>
      <c r="O27" s="1522"/>
      <c r="P27" s="2418"/>
      <c r="Q27" s="2418"/>
      <c r="R27" s="2418"/>
      <c r="S27" s="2418"/>
      <c r="T27" s="2418"/>
      <c r="U27" s="2418"/>
      <c r="V27" s="2418"/>
      <c r="W27" s="2418"/>
      <c r="X27" s="2418"/>
      <c r="Y27" s="2418"/>
      <c r="Z27" s="2418"/>
      <c r="AA27" s="2418"/>
      <c r="AB27" s="2418"/>
      <c r="AC27" s="2418"/>
      <c r="AD27" s="2418"/>
      <c r="AE27" s="2418"/>
      <c r="AF27" s="2418"/>
      <c r="AG27" s="2418"/>
      <c r="AH27" s="2418"/>
      <c r="AI27" s="2419"/>
      <c r="AJ27" s="1501"/>
      <c r="BM27" s="231">
        <v>11</v>
      </c>
    </row>
    <row r="28" spans="4:65" s="1481" customFormat="1" ht="11.45" customHeight="1">
      <c r="D28" s="2410"/>
      <c r="E28" s="2412"/>
      <c r="F28" s="2413"/>
      <c r="G28" s="2347"/>
      <c r="H28" s="1525"/>
      <c r="I28" s="1529"/>
      <c r="J28" s="2416"/>
      <c r="K28" s="2416"/>
      <c r="L28" s="2416"/>
      <c r="M28" s="2416"/>
      <c r="N28" s="2416"/>
      <c r="O28" s="2416"/>
      <c r="P28" s="2416"/>
      <c r="Q28" s="2416"/>
      <c r="R28" s="2416"/>
      <c r="S28" s="2416"/>
      <c r="T28" s="2416"/>
      <c r="U28" s="2416"/>
      <c r="V28" s="2416"/>
      <c r="W28" s="2416"/>
      <c r="X28" s="2416"/>
      <c r="Y28" s="2416"/>
      <c r="Z28" s="2416"/>
      <c r="AA28" s="2416"/>
      <c r="AB28" s="2416"/>
      <c r="AC28" s="2416"/>
      <c r="AD28" s="2416"/>
      <c r="AE28" s="2416"/>
      <c r="AF28" s="2416"/>
      <c r="AG28" s="2416"/>
      <c r="AH28" s="2416"/>
      <c r="AI28" s="2417"/>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409" t="s">
        <v>92</v>
      </c>
      <c r="E29" s="2411" t="s">
        <v>300</v>
      </c>
      <c r="F29" s="2411" t="s">
        <v>304</v>
      </c>
      <c r="G29" s="2392" t="s">
        <v>19</v>
      </c>
      <c r="H29" s="1526"/>
      <c r="I29" s="2414"/>
      <c r="J29" s="2360"/>
      <c r="K29" s="1441"/>
      <c r="L29" s="2352"/>
      <c r="M29" s="2352"/>
      <c r="N29" s="1511"/>
      <c r="O29" s="2352"/>
      <c r="P29" s="2360"/>
      <c r="Q29" s="1512"/>
      <c r="R29" s="2352"/>
      <c r="S29" s="2352"/>
      <c r="T29" s="1513"/>
      <c r="U29" s="2352"/>
      <c r="V29" s="2360"/>
      <c r="W29" s="1514"/>
      <c r="X29" s="2352"/>
      <c r="Y29" s="2352"/>
      <c r="Z29" s="1511"/>
      <c r="AA29" s="2352"/>
      <c r="AB29" s="2360"/>
      <c r="AC29" s="1515"/>
      <c r="AD29" s="2352"/>
      <c r="AE29" s="2352"/>
      <c r="AF29" s="1440"/>
      <c r="AG29" s="1440"/>
      <c r="AH29" s="1516"/>
      <c r="AI29" s="1223"/>
      <c r="AJ29" s="1501"/>
      <c r="BM29" s="231">
        <v>14</v>
      </c>
    </row>
    <row r="30" spans="4:65" ht="14.65" customHeight="1">
      <c r="D30" s="2409"/>
      <c r="E30" s="2411"/>
      <c r="F30" s="2411"/>
      <c r="G30" s="2393"/>
      <c r="H30" s="1527"/>
      <c r="I30" s="2415"/>
      <c r="J30" s="2361"/>
      <c r="K30" s="1510"/>
      <c r="L30" s="2353"/>
      <c r="M30" s="2353"/>
      <c r="N30" s="1517"/>
      <c r="O30" s="2353"/>
      <c r="P30" s="2361"/>
      <c r="Q30" s="1518"/>
      <c r="R30" s="2353"/>
      <c r="S30" s="2353"/>
      <c r="T30" s="1519"/>
      <c r="U30" s="2353"/>
      <c r="V30" s="2361"/>
      <c r="W30" s="1520"/>
      <c r="X30" s="2353"/>
      <c r="Y30" s="2353"/>
      <c r="Z30" s="1517"/>
      <c r="AA30" s="2353"/>
      <c r="AB30" s="2361"/>
      <c r="AC30" s="1521"/>
      <c r="AD30" s="2353"/>
      <c r="AE30" s="2353"/>
      <c r="AF30" s="1522"/>
      <c r="AG30" s="1522"/>
      <c r="AH30" s="2418"/>
      <c r="AI30" s="2419"/>
      <c r="AJ30" s="1501"/>
      <c r="BM30" s="231">
        <v>14</v>
      </c>
    </row>
    <row r="31" spans="4:65" ht="14.65" customHeight="1">
      <c r="D31" s="2409"/>
      <c r="E31" s="2411"/>
      <c r="F31" s="2411"/>
      <c r="G31" s="2393"/>
      <c r="H31" s="1527"/>
      <c r="I31" s="2415"/>
      <c r="J31" s="2361"/>
      <c r="K31" s="1510"/>
      <c r="L31" s="2353"/>
      <c r="M31" s="2353"/>
      <c r="N31" s="1517"/>
      <c r="O31" s="2353"/>
      <c r="P31" s="2361"/>
      <c r="Q31" s="1518"/>
      <c r="R31" s="2353"/>
      <c r="S31" s="2353"/>
      <c r="T31" s="1519"/>
      <c r="U31" s="2353"/>
      <c r="V31" s="2361"/>
      <c r="W31" s="1520"/>
      <c r="X31" s="2353"/>
      <c r="Y31" s="2353"/>
      <c r="Z31" s="1439"/>
      <c r="AA31" s="1522"/>
      <c r="AB31" s="2418"/>
      <c r="AC31" s="2418"/>
      <c r="AD31" s="2418"/>
      <c r="AE31" s="2418"/>
      <c r="AF31" s="2418"/>
      <c r="AG31" s="2418"/>
      <c r="AH31" s="2418"/>
      <c r="AI31" s="2419"/>
      <c r="AJ31" s="1501"/>
      <c r="BM31" s="231">
        <v>14</v>
      </c>
    </row>
    <row r="32" spans="4:65" ht="14.65" customHeight="1">
      <c r="D32" s="2409"/>
      <c r="E32" s="2411"/>
      <c r="F32" s="2411"/>
      <c r="G32" s="2393"/>
      <c r="H32" s="1527"/>
      <c r="I32" s="2415"/>
      <c r="J32" s="2361"/>
      <c r="K32" s="1510"/>
      <c r="L32" s="2353"/>
      <c r="M32" s="2353"/>
      <c r="N32" s="1517"/>
      <c r="O32" s="2353"/>
      <c r="P32" s="2361"/>
      <c r="Q32" s="1518"/>
      <c r="R32" s="2353"/>
      <c r="S32" s="2353"/>
      <c r="T32" s="1523"/>
      <c r="U32" s="1524"/>
      <c r="V32" s="2418"/>
      <c r="W32" s="2418"/>
      <c r="X32" s="2418"/>
      <c r="Y32" s="2418"/>
      <c r="Z32" s="2418"/>
      <c r="AA32" s="2418"/>
      <c r="AB32" s="2418"/>
      <c r="AC32" s="2418"/>
      <c r="AD32" s="2418"/>
      <c r="AE32" s="2418"/>
      <c r="AF32" s="2418"/>
      <c r="AG32" s="2418"/>
      <c r="AH32" s="2418"/>
      <c r="AI32" s="2419"/>
      <c r="AJ32" s="1501"/>
      <c r="BM32" s="231">
        <v>14</v>
      </c>
    </row>
    <row r="33" spans="4:65" ht="11.45" customHeight="1">
      <c r="D33" s="2409"/>
      <c r="E33" s="2411"/>
      <c r="F33" s="2411"/>
      <c r="G33" s="2393"/>
      <c r="H33" s="1528"/>
      <c r="I33" s="2415"/>
      <c r="J33" s="2361"/>
      <c r="K33" s="1510"/>
      <c r="L33" s="2353"/>
      <c r="M33" s="2353"/>
      <c r="N33" s="1522"/>
      <c r="O33" s="1522"/>
      <c r="P33" s="2418"/>
      <c r="Q33" s="2418"/>
      <c r="R33" s="2418"/>
      <c r="S33" s="2418"/>
      <c r="T33" s="2418"/>
      <c r="U33" s="2418"/>
      <c r="V33" s="2418"/>
      <c r="W33" s="2418"/>
      <c r="X33" s="2418"/>
      <c r="Y33" s="2418"/>
      <c r="Z33" s="2418"/>
      <c r="AA33" s="2418"/>
      <c r="AB33" s="2418"/>
      <c r="AC33" s="2418"/>
      <c r="AD33" s="2418"/>
      <c r="AE33" s="2418"/>
      <c r="AF33" s="2418"/>
      <c r="AG33" s="2418"/>
      <c r="AH33" s="2418"/>
      <c r="AI33" s="2419"/>
      <c r="AJ33" s="1501"/>
      <c r="BM33" s="231">
        <v>11</v>
      </c>
    </row>
    <row r="34" spans="4:65" s="1481" customFormat="1" ht="11.45" customHeight="1">
      <c r="D34" s="2410"/>
      <c r="E34" s="2412"/>
      <c r="F34" s="2413"/>
      <c r="G34" s="2347"/>
      <c r="H34" s="1525"/>
      <c r="I34" s="1529"/>
      <c r="J34" s="2416"/>
      <c r="K34" s="2416"/>
      <c r="L34" s="2416"/>
      <c r="M34" s="2416"/>
      <c r="N34" s="2416"/>
      <c r="O34" s="2416"/>
      <c r="P34" s="2416"/>
      <c r="Q34" s="2416"/>
      <c r="R34" s="2416"/>
      <c r="S34" s="2416"/>
      <c r="T34" s="2416"/>
      <c r="U34" s="2416"/>
      <c r="V34" s="2416"/>
      <c r="W34" s="2416"/>
      <c r="X34" s="2416"/>
      <c r="Y34" s="2416"/>
      <c r="Z34" s="2416"/>
      <c r="AA34" s="2416"/>
      <c r="AB34" s="2416"/>
      <c r="AC34" s="2416"/>
      <c r="AD34" s="2416"/>
      <c r="AE34" s="2416"/>
      <c r="AF34" s="2416"/>
      <c r="AG34" s="2416"/>
      <c r="AH34" s="2416"/>
      <c r="AI34" s="2417"/>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409" t="s">
        <v>112</v>
      </c>
      <c r="E35" s="2411" t="s">
        <v>300</v>
      </c>
      <c r="F35" s="2411" t="s">
        <v>305</v>
      </c>
      <c r="G35" s="2392" t="s">
        <v>19</v>
      </c>
      <c r="H35" s="1526"/>
      <c r="I35" s="2414"/>
      <c r="J35" s="2360"/>
      <c r="K35" s="1441"/>
      <c r="L35" s="2352"/>
      <c r="M35" s="2352"/>
      <c r="N35" s="1511"/>
      <c r="O35" s="2352"/>
      <c r="P35" s="2360"/>
      <c r="Q35" s="1512"/>
      <c r="R35" s="2352"/>
      <c r="S35" s="2352"/>
      <c r="T35" s="1513"/>
      <c r="U35" s="2352"/>
      <c r="V35" s="2360"/>
      <c r="W35" s="1514"/>
      <c r="X35" s="2352"/>
      <c r="Y35" s="2352"/>
      <c r="Z35" s="1511"/>
      <c r="AA35" s="2352"/>
      <c r="AB35" s="2360"/>
      <c r="AC35" s="1515"/>
      <c r="AD35" s="2352"/>
      <c r="AE35" s="2352"/>
      <c r="AF35" s="1440"/>
      <c r="AG35" s="1440"/>
      <c r="AH35" s="1516"/>
      <c r="AI35" s="1223"/>
      <c r="AJ35" s="1501"/>
      <c r="BM35" s="231">
        <v>14</v>
      </c>
    </row>
    <row r="36" spans="4:65" ht="14.65" customHeight="1">
      <c r="D36" s="2409"/>
      <c r="E36" s="2411"/>
      <c r="F36" s="2411"/>
      <c r="G36" s="2393"/>
      <c r="H36" s="1527"/>
      <c r="I36" s="2415"/>
      <c r="J36" s="2361"/>
      <c r="K36" s="1510"/>
      <c r="L36" s="2353"/>
      <c r="M36" s="2353"/>
      <c r="N36" s="1517"/>
      <c r="O36" s="2353"/>
      <c r="P36" s="2361"/>
      <c r="Q36" s="1518"/>
      <c r="R36" s="2353"/>
      <c r="S36" s="2353"/>
      <c r="T36" s="1519"/>
      <c r="U36" s="2353"/>
      <c r="V36" s="2361"/>
      <c r="W36" s="1520"/>
      <c r="X36" s="2353"/>
      <c r="Y36" s="2353"/>
      <c r="Z36" s="1517"/>
      <c r="AA36" s="2353"/>
      <c r="AB36" s="2361"/>
      <c r="AC36" s="1521"/>
      <c r="AD36" s="2353"/>
      <c r="AE36" s="2353"/>
      <c r="AF36" s="1522"/>
      <c r="AG36" s="1522"/>
      <c r="AH36" s="2418"/>
      <c r="AI36" s="2419"/>
      <c r="AJ36" s="1501"/>
      <c r="BM36" s="231">
        <v>14</v>
      </c>
    </row>
    <row r="37" spans="4:65" ht="14.65" customHeight="1">
      <c r="D37" s="2409"/>
      <c r="E37" s="2411"/>
      <c r="F37" s="2411"/>
      <c r="G37" s="2393"/>
      <c r="H37" s="1527"/>
      <c r="I37" s="2415"/>
      <c r="J37" s="2361"/>
      <c r="K37" s="1510"/>
      <c r="L37" s="2353"/>
      <c r="M37" s="2353"/>
      <c r="N37" s="1517"/>
      <c r="O37" s="2353"/>
      <c r="P37" s="2361"/>
      <c r="Q37" s="1518"/>
      <c r="R37" s="2353"/>
      <c r="S37" s="2353"/>
      <c r="T37" s="1519"/>
      <c r="U37" s="2353"/>
      <c r="V37" s="2361"/>
      <c r="W37" s="1520"/>
      <c r="X37" s="2353"/>
      <c r="Y37" s="2353"/>
      <c r="Z37" s="1439"/>
      <c r="AA37" s="1522"/>
      <c r="AB37" s="2418"/>
      <c r="AC37" s="2418"/>
      <c r="AD37" s="2418"/>
      <c r="AE37" s="2418"/>
      <c r="AF37" s="2418"/>
      <c r="AG37" s="2418"/>
      <c r="AH37" s="2418"/>
      <c r="AI37" s="2419"/>
      <c r="AJ37" s="1501"/>
      <c r="BM37" s="231">
        <v>14</v>
      </c>
    </row>
    <row r="38" spans="4:65" ht="14.65" customHeight="1">
      <c r="D38" s="2409"/>
      <c r="E38" s="2411"/>
      <c r="F38" s="2411"/>
      <c r="G38" s="2393"/>
      <c r="H38" s="1527"/>
      <c r="I38" s="2415"/>
      <c r="J38" s="2361"/>
      <c r="K38" s="1510"/>
      <c r="L38" s="2353"/>
      <c r="M38" s="2353"/>
      <c r="N38" s="1517"/>
      <c r="O38" s="2353"/>
      <c r="P38" s="2361"/>
      <c r="Q38" s="1518"/>
      <c r="R38" s="2353"/>
      <c r="S38" s="2353"/>
      <c r="T38" s="1523"/>
      <c r="U38" s="1524"/>
      <c r="V38" s="2418"/>
      <c r="W38" s="2418"/>
      <c r="X38" s="2418"/>
      <c r="Y38" s="2418"/>
      <c r="Z38" s="2418"/>
      <c r="AA38" s="2418"/>
      <c r="AB38" s="2418"/>
      <c r="AC38" s="2418"/>
      <c r="AD38" s="2418"/>
      <c r="AE38" s="2418"/>
      <c r="AF38" s="2418"/>
      <c r="AG38" s="2418"/>
      <c r="AH38" s="2418"/>
      <c r="AI38" s="2419"/>
      <c r="AJ38" s="1501"/>
      <c r="BM38" s="231">
        <v>14</v>
      </c>
    </row>
    <row r="39" spans="4:65" ht="11.45" customHeight="1">
      <c r="D39" s="2409"/>
      <c r="E39" s="2411"/>
      <c r="F39" s="2411"/>
      <c r="G39" s="2393"/>
      <c r="H39" s="1528"/>
      <c r="I39" s="2415"/>
      <c r="J39" s="2361"/>
      <c r="K39" s="1510"/>
      <c r="L39" s="2353"/>
      <c r="M39" s="2353"/>
      <c r="N39" s="1522"/>
      <c r="O39" s="1522"/>
      <c r="P39" s="2418"/>
      <c r="Q39" s="2418"/>
      <c r="R39" s="2418"/>
      <c r="S39" s="2418"/>
      <c r="T39" s="2418"/>
      <c r="U39" s="2418"/>
      <c r="V39" s="2418"/>
      <c r="W39" s="2418"/>
      <c r="X39" s="2418"/>
      <c r="Y39" s="2418"/>
      <c r="Z39" s="2418"/>
      <c r="AA39" s="2418"/>
      <c r="AB39" s="2418"/>
      <c r="AC39" s="2418"/>
      <c r="AD39" s="2418"/>
      <c r="AE39" s="2418"/>
      <c r="AF39" s="2418"/>
      <c r="AG39" s="2418"/>
      <c r="AH39" s="2418"/>
      <c r="AI39" s="2419"/>
      <c r="AJ39" s="1501"/>
      <c r="BM39" s="231">
        <v>11</v>
      </c>
    </row>
    <row r="40" spans="4:65" s="1481" customFormat="1" ht="11.45" customHeight="1">
      <c r="D40" s="2409"/>
      <c r="E40" s="2411"/>
      <c r="F40" s="2420"/>
      <c r="G40" s="2347"/>
      <c r="H40" s="1525"/>
      <c r="I40" s="1529"/>
      <c r="J40" s="2416"/>
      <c r="K40" s="2416"/>
      <c r="L40" s="2416"/>
      <c r="M40" s="2416"/>
      <c r="N40" s="2416"/>
      <c r="O40" s="2416"/>
      <c r="P40" s="2416"/>
      <c r="Q40" s="2416"/>
      <c r="R40" s="2416"/>
      <c r="S40" s="2416"/>
      <c r="T40" s="2416"/>
      <c r="U40" s="2416"/>
      <c r="V40" s="2416"/>
      <c r="W40" s="2416"/>
      <c r="X40" s="2416"/>
      <c r="Y40" s="2416"/>
      <c r="Z40" s="2416"/>
      <c r="AA40" s="2416"/>
      <c r="AB40" s="2416"/>
      <c r="AC40" s="2416"/>
      <c r="AD40" s="2416"/>
      <c r="AE40" s="2416"/>
      <c r="AF40" s="2416"/>
      <c r="AG40" s="2416"/>
      <c r="AH40" s="2416"/>
      <c r="AI40" s="2417"/>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83</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34022-A3A9-E42C-96C1-FD5799D5102D}">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306</v>
      </c>
      <c r="J1" s="392" t="s">
        <v>14</v>
      </c>
    </row>
    <row r="2" spans="1:10" ht="11.25" hidden="1" customHeight="1">
      <c r="J2" s="392">
        <v>0</v>
      </c>
    </row>
    <row r="3" spans="1:10" s="414" customFormat="1" ht="11.45" customHeight="1">
      <c r="A3" s="1613"/>
      <c r="B3" s="438"/>
      <c r="D3" s="415"/>
      <c r="J3" s="414">
        <v>11</v>
      </c>
    </row>
    <row r="4" spans="1:10" ht="27.4" customHeight="1">
      <c r="D4" s="238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85"/>
      <c r="F4" s="2386"/>
      <c r="I4" s="652"/>
      <c r="J4" s="392">
        <v>26</v>
      </c>
    </row>
    <row r="5" spans="1:10" ht="18" customHeight="1">
      <c r="D5" s="2421" t="str">
        <f>IF(org=0,"Не определено",org)</f>
        <v>МУП "Городские тепловые сети" МО  "город Курчатов"</v>
      </c>
      <c r="E5" s="2421"/>
      <c r="F5" s="2421"/>
      <c r="I5" s="652"/>
      <c r="J5" s="392">
        <v>17</v>
      </c>
    </row>
    <row r="6" spans="1:10" s="414" customFormat="1" ht="11.45" customHeight="1">
      <c r="A6" s="1613"/>
      <c r="B6" s="438"/>
      <c r="D6" s="651"/>
      <c r="E6" s="651"/>
      <c r="F6" s="689"/>
      <c r="G6" s="651"/>
      <c r="J6" s="414">
        <v>11</v>
      </c>
    </row>
    <row r="7" spans="1:10" ht="11.25" hidden="1" customHeight="1">
      <c r="A7" s="394"/>
      <c r="B7" s="439"/>
      <c r="C7" s="394"/>
      <c r="D7" s="400"/>
      <c r="E7" s="2427"/>
      <c r="F7" s="2427"/>
      <c r="J7" s="392">
        <v>0</v>
      </c>
    </row>
    <row r="8" spans="1:10" ht="11.45" customHeight="1">
      <c r="A8" s="394"/>
      <c r="B8" s="439"/>
      <c r="C8" s="394"/>
      <c r="D8" s="2424" t="s">
        <v>307</v>
      </c>
      <c r="E8" s="2425"/>
      <c r="F8" s="2425"/>
      <c r="G8" s="2428" t="s">
        <v>308</v>
      </c>
      <c r="J8" s="392">
        <v>11</v>
      </c>
    </row>
    <row r="9" spans="1:10" ht="11.45" customHeight="1">
      <c r="A9" s="394"/>
      <c r="B9" s="439"/>
      <c r="C9" s="394"/>
      <c r="D9" s="409" t="s">
        <v>89</v>
      </c>
      <c r="E9" s="383" t="s">
        <v>309</v>
      </c>
      <c r="F9" s="383" t="s">
        <v>310</v>
      </c>
      <c r="G9" s="2429"/>
      <c r="J9" s="392">
        <v>11</v>
      </c>
    </row>
    <row r="10" spans="1:10" ht="12" hidden="1" customHeight="1">
      <c r="A10" s="394"/>
      <c r="B10" s="439"/>
      <c r="C10" s="394"/>
      <c r="D10" s="401"/>
      <c r="E10" s="401"/>
      <c r="F10" s="401"/>
      <c r="G10" s="401"/>
      <c r="J10" s="392">
        <v>0</v>
      </c>
    </row>
    <row r="11" spans="1:10" ht="22.5" hidden="1" customHeight="1">
      <c r="A11" s="394"/>
      <c r="B11" s="439"/>
      <c r="C11" s="394"/>
      <c r="D11" s="939" t="s">
        <v>110</v>
      </c>
      <c r="E11" s="942" t="s">
        <v>311</v>
      </c>
      <c r="F11" s="941" t="str">
        <f>IF(region_name="","",region_name)</f>
        <v>Курская область</v>
      </c>
      <c r="G11" s="942" t="s">
        <v>312</v>
      </c>
      <c r="H11" s="412"/>
      <c r="J11" s="392">
        <v>0</v>
      </c>
    </row>
    <row r="12" spans="1:10" ht="22.5" hidden="1" customHeight="1">
      <c r="A12" s="394"/>
      <c r="B12" s="439"/>
      <c r="C12" s="394"/>
      <c r="D12" s="382" t="s">
        <v>110</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313</v>
      </c>
      <c r="G12" s="411"/>
      <c r="H12" s="412"/>
      <c r="J12" s="392">
        <v>0</v>
      </c>
    </row>
    <row r="13" spans="1:10" ht="23.25" customHeight="1">
      <c r="A13" s="394"/>
      <c r="B13" s="439"/>
      <c r="C13" s="394"/>
      <c r="D13" s="382" t="s">
        <v>110</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314</v>
      </c>
      <c r="E14" s="940" t="s">
        <v>315</v>
      </c>
      <c r="F14" s="941" t="str">
        <f>IF(inn="","",inn)</f>
        <v>4634002573</v>
      </c>
      <c r="G14" s="942" t="s">
        <v>316</v>
      </c>
      <c r="H14" s="412"/>
      <c r="J14" s="392">
        <v>0</v>
      </c>
    </row>
    <row r="15" spans="1:10" ht="22.5" hidden="1" customHeight="1">
      <c r="A15" s="394"/>
      <c r="B15" s="439"/>
      <c r="C15" s="394"/>
      <c r="D15" s="939" t="s">
        <v>317</v>
      </c>
      <c r="E15" s="940" t="s">
        <v>318</v>
      </c>
      <c r="F15" s="941" t="str">
        <f>IF(kpp="","",kpp)</f>
        <v>463401001</v>
      </c>
      <c r="G15" s="942" t="s">
        <v>319</v>
      </c>
      <c r="H15" s="412"/>
      <c r="J15" s="392">
        <v>0</v>
      </c>
    </row>
    <row r="16" spans="1:10" ht="39" customHeight="1">
      <c r="A16" s="394"/>
      <c r="B16" s="439"/>
      <c r="C16" s="394"/>
      <c r="D16" s="382" t="s">
        <v>111</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91</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92</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422" t="s">
        <v>320</v>
      </c>
      <c r="B19" s="439"/>
      <c r="C19" s="2433"/>
      <c r="D19" s="382" t="str">
        <f>A19</f>
        <v>5.1</v>
      </c>
      <c r="E19" s="379" t="s">
        <v>321</v>
      </c>
      <c r="F19" s="380" t="s">
        <v>313</v>
      </c>
      <c r="G19" s="381" t="s">
        <v>322</v>
      </c>
      <c r="H19" s="412"/>
      <c r="I19" s="783"/>
      <c r="J19" s="392">
        <v>0</v>
      </c>
    </row>
    <row r="20" spans="1:10" ht="24" hidden="1" customHeight="1">
      <c r="A20" s="2422"/>
      <c r="B20" s="439"/>
      <c r="C20" s="2433"/>
      <c r="D20" s="377" t="str">
        <f>D19&amp;".1"</f>
        <v>5.1.1</v>
      </c>
      <c r="E20" s="376" t="s">
        <v>323</v>
      </c>
      <c r="F20" s="811" t="s">
        <v>28</v>
      </c>
      <c r="G20" s="411"/>
      <c r="H20" s="412"/>
      <c r="I20" s="783"/>
      <c r="J20" s="392">
        <v>0</v>
      </c>
    </row>
    <row r="21" spans="1:10" ht="22.5" hidden="1" customHeight="1">
      <c r="A21" s="2422"/>
      <c r="B21" s="439"/>
      <c r="C21" s="2433"/>
      <c r="D21" s="377" t="str">
        <f>D19&amp;".2"</f>
        <v>5.1.2</v>
      </c>
      <c r="E21" s="376" t="s">
        <v>324</v>
      </c>
      <c r="F21" s="1659" t="s">
        <v>28</v>
      </c>
      <c r="G21" s="381" t="s">
        <v>325</v>
      </c>
      <c r="H21" s="412"/>
      <c r="I21" s="783"/>
      <c r="J21" s="392">
        <v>0</v>
      </c>
    </row>
    <row r="22" spans="1:10" ht="22.5" hidden="1" customHeight="1">
      <c r="A22" s="2422"/>
      <c r="B22" s="439"/>
      <c r="C22" s="2433"/>
      <c r="D22" s="377" t="str">
        <f>D19&amp;".3"</f>
        <v>5.1.3</v>
      </c>
      <c r="E22" s="376" t="s">
        <v>326</v>
      </c>
      <c r="F22" s="811" t="s">
        <v>28</v>
      </c>
      <c r="G22" s="411"/>
      <c r="H22" s="412"/>
      <c r="I22" s="783"/>
      <c r="J22" s="392">
        <v>0</v>
      </c>
    </row>
    <row r="23" spans="1:10" ht="22.5" hidden="1" customHeight="1">
      <c r="A23" s="2422"/>
      <c r="B23" s="439"/>
      <c r="C23" s="2433"/>
      <c r="D23" s="377" t="str">
        <f>D19&amp;".4"</f>
        <v>5.1.4</v>
      </c>
      <c r="E23" s="376" t="s">
        <v>327</v>
      </c>
      <c r="F23" s="811" t="s">
        <v>28</v>
      </c>
      <c r="G23" s="381" t="s">
        <v>328</v>
      </c>
      <c r="H23" s="412"/>
      <c r="I23" s="783"/>
      <c r="J23" s="392">
        <v>0</v>
      </c>
    </row>
    <row r="24" spans="1:10" ht="22.5" hidden="1" customHeight="1">
      <c r="A24" s="1900"/>
      <c r="B24" s="439"/>
      <c r="C24" s="429"/>
      <c r="D24" s="404"/>
      <c r="E24" s="1095" t="s">
        <v>329</v>
      </c>
      <c r="F24" s="405"/>
      <c r="G24" s="406"/>
      <c r="H24" s="412"/>
      <c r="I24" s="783"/>
      <c r="J24" s="392">
        <v>0</v>
      </c>
    </row>
    <row r="25" spans="1:10" s="438" customFormat="1" ht="24.75" hidden="1" customHeight="1">
      <c r="A25" s="394"/>
      <c r="B25" s="439"/>
      <c r="C25" s="439"/>
      <c r="D25" s="936" t="s">
        <v>91</v>
      </c>
      <c r="E25" s="938" t="s">
        <v>330</v>
      </c>
      <c r="F25" s="943" t="s">
        <v>313</v>
      </c>
      <c r="G25" s="938"/>
      <c r="J25" s="438">
        <v>0</v>
      </c>
    </row>
    <row r="26" spans="1:10" s="438" customFormat="1" ht="11.25" hidden="1" customHeight="1">
      <c r="A26" s="394"/>
      <c r="B26" s="439"/>
      <c r="C26" s="439"/>
      <c r="D26" s="936" t="s">
        <v>331</v>
      </c>
      <c r="E26" s="937" t="s">
        <v>332</v>
      </c>
      <c r="F26" s="943" t="s">
        <v>313</v>
      </c>
      <c r="G26" s="938"/>
      <c r="J26" s="438">
        <v>0</v>
      </c>
    </row>
    <row r="27" spans="1:10" s="438" customFormat="1" ht="11.25" hidden="1" customHeight="1">
      <c r="A27" s="394"/>
      <c r="B27" s="439"/>
      <c r="C27" s="439"/>
      <c r="D27" s="936" t="s">
        <v>333</v>
      </c>
      <c r="E27" s="944" t="s">
        <v>334</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335</v>
      </c>
      <c r="E28" s="944" t="s">
        <v>336</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337</v>
      </c>
      <c r="E29" s="944" t="s">
        <v>338</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339</v>
      </c>
      <c r="E30" s="937" t="s">
        <v>340</v>
      </c>
      <c r="F30" s="945"/>
      <c r="G30" s="938"/>
      <c r="J30" s="438">
        <v>0</v>
      </c>
    </row>
    <row r="31" spans="1:10" s="438" customFormat="1" ht="11.25" hidden="1" customHeight="1">
      <c r="A31" s="394"/>
      <c r="B31" s="439"/>
      <c r="C31" s="439"/>
      <c r="D31" s="936" t="s">
        <v>341</v>
      </c>
      <c r="E31" s="937" t="s">
        <v>342</v>
      </c>
      <c r="F31" s="945"/>
      <c r="G31" s="938"/>
      <c r="J31" s="438">
        <v>0</v>
      </c>
    </row>
    <row r="32" spans="1:10" s="438" customFormat="1" ht="11.25" hidden="1" customHeight="1">
      <c r="A32" s="394"/>
      <c r="B32" s="439"/>
      <c r="C32" s="439"/>
      <c r="D32" s="936" t="s">
        <v>343</v>
      </c>
      <c r="E32" s="937" t="s">
        <v>344</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313</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345</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345</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313</v>
      </c>
      <c r="G39" s="243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431"/>
      <c r="H40" s="412"/>
      <c r="J40" s="392">
        <v>0</v>
      </c>
    </row>
    <row r="41" spans="1:10" ht="23.25" customHeight="1">
      <c r="A41" s="394"/>
      <c r="B41" s="394"/>
      <c r="C41" s="1615"/>
      <c r="D41" s="377" t="str">
        <f>D39&amp;".1"</f>
        <v>9.1</v>
      </c>
      <c r="E41" s="791"/>
      <c r="F41" s="792"/>
      <c r="G41" s="2431"/>
      <c r="H41" s="412"/>
      <c r="J41" s="392">
        <v>22</v>
      </c>
    </row>
    <row r="42" spans="1:10" ht="15.75" customHeight="1">
      <c r="A42" s="394"/>
      <c r="B42" s="439"/>
      <c r="C42" s="394"/>
      <c r="D42" s="404"/>
      <c r="E42" s="352" t="s">
        <v>346</v>
      </c>
      <c r="F42" s="406"/>
      <c r="G42" s="2432"/>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347</v>
      </c>
      <c r="H44" s="412"/>
      <c r="J44" s="392">
        <v>22</v>
      </c>
    </row>
    <row r="45" spans="1:10" ht="23.25" customHeight="1">
      <c r="A45" s="394"/>
      <c r="B45" s="439"/>
      <c r="C45" s="394"/>
      <c r="D45" s="377">
        <f>D44+1</f>
        <v>12</v>
      </c>
      <c r="E45" s="375" t="s">
        <v>348</v>
      </c>
      <c r="F45" s="380" t="s">
        <v>313</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349</v>
      </c>
      <c r="H46" s="412"/>
      <c r="J46" s="392">
        <v>23</v>
      </c>
    </row>
    <row r="47" spans="1:10" ht="24" customHeight="1">
      <c r="A47" s="2422"/>
      <c r="B47" s="439"/>
      <c r="C47" s="429"/>
      <c r="D47" s="377" t="str">
        <f>D45&amp;".2"</f>
        <v>12.2</v>
      </c>
      <c r="E47" s="379" t="s">
        <v>350</v>
      </c>
      <c r="F47" s="427"/>
      <c r="G47" s="374" t="s">
        <v>351</v>
      </c>
      <c r="H47" s="412"/>
      <c r="J47" s="392">
        <v>23</v>
      </c>
    </row>
    <row r="48" spans="1:10" ht="24" customHeight="1">
      <c r="A48" s="2422"/>
      <c r="B48" s="439"/>
      <c r="C48" s="429"/>
      <c r="D48" s="377" t="str">
        <f>D45&amp;".3"</f>
        <v>12.3</v>
      </c>
      <c r="E48" s="379" t="s">
        <v>352</v>
      </c>
      <c r="F48" s="427"/>
      <c r="G48" s="374" t="s">
        <v>353</v>
      </c>
      <c r="H48" s="412"/>
      <c r="J48" s="392">
        <v>23</v>
      </c>
    </row>
    <row r="49" spans="1:10" ht="24" customHeight="1">
      <c r="A49" s="2422"/>
      <c r="B49" s="439"/>
      <c r="C49" s="429"/>
      <c r="D49" s="377" t="str">
        <f>IF(TEMPLATE_SPHERE="TKO",D45&amp;".0",D45&amp;".4")</f>
        <v>12.4</v>
      </c>
      <c r="E49" s="373" t="s">
        <v>354</v>
      </c>
      <c r="F49" s="1612"/>
      <c r="G49" s="1688" t="s">
        <v>355</v>
      </c>
      <c r="H49" s="412"/>
      <c r="J49" s="392">
        <v>23</v>
      </c>
    </row>
    <row r="50" spans="1:10" ht="24" customHeight="1">
      <c r="A50" s="394"/>
      <c r="B50" s="439"/>
      <c r="C50" s="394"/>
      <c r="D50" s="404"/>
      <c r="E50" s="352" t="s">
        <v>356</v>
      </c>
      <c r="F50" s="405"/>
      <c r="G50" s="1688" t="s">
        <v>357</v>
      </c>
      <c r="H50" s="413"/>
      <c r="J50" s="392">
        <v>23</v>
      </c>
    </row>
    <row r="51" spans="1:10" ht="24" customHeight="1">
      <c r="A51" s="789"/>
      <c r="B51" s="439"/>
      <c r="C51" s="429"/>
      <c r="D51" s="377">
        <f>D45+1</f>
        <v>13</v>
      </c>
      <c r="E51" s="465" t="s">
        <v>358</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423"/>
      <c r="D53" s="24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26"/>
      <c r="F53" s="2426"/>
      <c r="G53" s="2426"/>
      <c r="H53" s="391"/>
      <c r="I53" s="391"/>
      <c r="J53" s="397">
        <v>30</v>
      </c>
    </row>
    <row r="54" spans="1:10" s="397" customFormat="1" ht="42" customHeight="1">
      <c r="A54" s="394"/>
      <c r="B54" s="439"/>
      <c r="C54" s="2423"/>
      <c r="D54" s="242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26"/>
      <c r="F54" s="2426"/>
      <c r="G54" s="2426"/>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83</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90C85-AD42-D8BC-A335-308A6DDF74DF}">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446" t="s">
        <v>359</v>
      </c>
      <c r="I1" s="2446"/>
      <c r="J1" s="2446"/>
      <c r="K1" s="2446"/>
      <c r="L1" s="2446"/>
      <c r="M1" s="2446"/>
      <c r="N1" s="2446"/>
      <c r="O1" s="2446"/>
      <c r="P1" s="2446"/>
      <c r="Q1" s="2446"/>
      <c r="R1" s="2446"/>
      <c r="T1" s="2446" t="s">
        <v>360</v>
      </c>
      <c r="U1" s="2446"/>
      <c r="V1" s="2446"/>
      <c r="X1" s="2446" t="s">
        <v>361</v>
      </c>
      <c r="Y1" s="2446"/>
      <c r="Z1" s="2446"/>
      <c r="AB1" s="2446" t="s">
        <v>362</v>
      </c>
      <c r="AC1" s="2446"/>
      <c r="AT1" s="384" t="s">
        <v>14</v>
      </c>
    </row>
    <row r="2" spans="1:46" ht="14.25" hidden="1" customHeight="1">
      <c r="AT2" s="384">
        <v>0</v>
      </c>
    </row>
    <row r="3" spans="1:46" s="1540" customFormat="1" ht="5.25" customHeight="1">
      <c r="C3" s="638"/>
      <c r="D3" s="639"/>
      <c r="E3" s="639"/>
      <c r="F3" s="639"/>
      <c r="G3" s="639"/>
      <c r="H3" s="639" t="s">
        <v>363</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38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85"/>
      <c r="F4" s="2385"/>
      <c r="G4" s="2385"/>
      <c r="H4" s="2385"/>
      <c r="I4" s="2385"/>
      <c r="J4" s="2385"/>
      <c r="K4" s="2385"/>
      <c r="L4" s="2385"/>
      <c r="M4" s="2385"/>
      <c r="N4" s="2385"/>
      <c r="O4" s="2385"/>
      <c r="P4" s="2385"/>
      <c r="Q4" s="2385"/>
      <c r="R4" s="2386"/>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443" t="str">
        <f>IF(org=0,"Не определено",org)</f>
        <v>МУП "Городские тепловые сети" МО  "город Курчатов"</v>
      </c>
      <c r="E5" s="2444"/>
      <c r="F5" s="2444"/>
      <c r="G5" s="2444"/>
      <c r="H5" s="2444"/>
      <c r="I5" s="2444"/>
      <c r="J5" s="2444"/>
      <c r="K5" s="2444"/>
      <c r="L5" s="2444"/>
      <c r="M5" s="2444"/>
      <c r="N5" s="2444"/>
      <c r="O5" s="2444"/>
      <c r="P5" s="2444"/>
      <c r="Q5" s="2444"/>
      <c r="R5" s="2445"/>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434" t="s">
        <v>307</v>
      </c>
      <c r="E7" s="2447"/>
      <c r="F7" s="2447"/>
      <c r="G7" s="2447"/>
      <c r="H7" s="2447"/>
      <c r="I7" s="2447"/>
      <c r="J7" s="2447"/>
      <c r="K7" s="2447"/>
      <c r="L7" s="2447"/>
      <c r="M7" s="2447"/>
      <c r="N7" s="2447"/>
      <c r="O7" s="2447"/>
      <c r="P7" s="2447"/>
      <c r="Q7" s="2447"/>
      <c r="R7" s="2447"/>
      <c r="S7" s="2447"/>
      <c r="T7" s="2447"/>
      <c r="U7" s="2447"/>
      <c r="V7" s="2447"/>
      <c r="W7" s="2447"/>
      <c r="X7" s="2447"/>
      <c r="Y7" s="2447"/>
      <c r="Z7" s="2447"/>
      <c r="AA7" s="2447"/>
      <c r="AB7" s="2447"/>
      <c r="AC7" s="2447"/>
      <c r="AD7" s="2448"/>
      <c r="AE7" s="2391" t="s">
        <v>308</v>
      </c>
      <c r="AF7" s="2391" t="s">
        <v>308</v>
      </c>
      <c r="AG7" s="2391" t="s">
        <v>308</v>
      </c>
      <c r="AH7" s="2391" t="s">
        <v>308</v>
      </c>
      <c r="AT7" s="384">
        <v>14</v>
      </c>
    </row>
    <row r="8" spans="1:46" ht="27.4" customHeight="1">
      <c r="C8" s="387"/>
      <c r="D8" s="2332" t="s">
        <v>89</v>
      </c>
      <c r="E8" s="2391" t="str">
        <f>"Наименование "&amp;IF(TEMPLATE_SPHERE&lt;&gt;"HEAT","централизованной ","")&amp;"системы "&amp;TEMPLATE_SPHERE_RUS</f>
        <v>Наименование системы теплоснабжения</v>
      </c>
      <c r="F8" s="2391" t="str">
        <f>IF(TEMPLATE_SPHERE&lt;&gt;"HEAT","Регулируемый вид деятельности","Вид регулируемой деятельности")</f>
        <v>Вид регулируемой деятельности</v>
      </c>
      <c r="G8" s="759"/>
      <c r="H8" s="2435" t="s">
        <v>364</v>
      </c>
      <c r="I8" s="2439" t="s">
        <v>365</v>
      </c>
      <c r="J8" s="2391" t="s">
        <v>366</v>
      </c>
      <c r="K8" s="2391"/>
      <c r="L8" s="2391"/>
      <c r="M8" s="2434"/>
      <c r="N8" s="2391" t="s">
        <v>367</v>
      </c>
      <c r="O8" s="2391"/>
      <c r="P8" s="2391" t="s">
        <v>368</v>
      </c>
      <c r="Q8" s="2391"/>
      <c r="R8" s="2437" t="s">
        <v>369</v>
      </c>
      <c r="S8" s="755"/>
      <c r="T8" s="2435" t="s">
        <v>370</v>
      </c>
      <c r="U8" s="2435" t="s">
        <v>371</v>
      </c>
      <c r="V8" s="2435" t="s">
        <v>372</v>
      </c>
      <c r="W8" s="757"/>
      <c r="X8" s="2435" t="s">
        <v>373</v>
      </c>
      <c r="Y8" s="2435" t="s">
        <v>374</v>
      </c>
      <c r="Z8" s="2435" t="s">
        <v>375</v>
      </c>
      <c r="AA8" s="757"/>
      <c r="AB8" s="2435" t="s">
        <v>376</v>
      </c>
      <c r="AC8" s="2435" t="s">
        <v>369</v>
      </c>
      <c r="AD8" s="757"/>
      <c r="AE8" s="2391"/>
      <c r="AF8" s="2391"/>
      <c r="AG8" s="2391"/>
      <c r="AH8" s="2391"/>
      <c r="AT8" s="384">
        <v>26</v>
      </c>
    </row>
    <row r="9" spans="1:46" ht="46.15" customHeight="1">
      <c r="C9" s="387"/>
      <c r="D9" s="2332"/>
      <c r="E9" s="2391"/>
      <c r="F9" s="2391"/>
      <c r="G9" s="760"/>
      <c r="H9" s="2436"/>
      <c r="I9" s="2440"/>
      <c r="J9" s="362" t="s">
        <v>377</v>
      </c>
      <c r="K9" s="362" t="s">
        <v>378</v>
      </c>
      <c r="L9" s="362" t="s">
        <v>379</v>
      </c>
      <c r="M9" s="368" t="s">
        <v>380</v>
      </c>
      <c r="N9" s="362" t="s">
        <v>381</v>
      </c>
      <c r="O9" s="362" t="s">
        <v>380</v>
      </c>
      <c r="P9" s="362" t="s">
        <v>382</v>
      </c>
      <c r="Q9" s="362" t="s">
        <v>380</v>
      </c>
      <c r="R9" s="2438"/>
      <c r="S9" s="756"/>
      <c r="T9" s="2436"/>
      <c r="U9" s="2436"/>
      <c r="V9" s="2436"/>
      <c r="W9" s="758"/>
      <c r="X9" s="2436"/>
      <c r="Y9" s="2436"/>
      <c r="Z9" s="2436"/>
      <c r="AA9" s="758"/>
      <c r="AB9" s="2436"/>
      <c r="AC9" s="2436"/>
      <c r="AD9" s="758"/>
      <c r="AE9" s="2391"/>
      <c r="AF9" s="2391"/>
      <c r="AG9" s="2391"/>
      <c r="AH9" s="2391"/>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383</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110</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441" t="s">
        <v>384</v>
      </c>
      <c r="AF12" s="2441" t="s">
        <v>385</v>
      </c>
      <c r="AG12" s="2441" t="s">
        <v>386</v>
      </c>
      <c r="AH12" s="2441" t="s">
        <v>387</v>
      </c>
      <c r="AI12" s="384"/>
      <c r="AM12" s="448"/>
      <c r="AP12" s="437" t="s">
        <v>388</v>
      </c>
      <c r="AQ12" s="437" t="s">
        <v>388</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442"/>
      <c r="AF13" s="2442"/>
      <c r="AG13" s="2442"/>
      <c r="AH13" s="2442"/>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83</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AC8B9-F1CE-0504-AB1E-E12BB1AE35F3}">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446" t="s">
        <v>359</v>
      </c>
      <c r="I1" s="2446"/>
      <c r="V1" s="1534" t="s">
        <v>14</v>
      </c>
    </row>
    <row r="2" spans="1:22" s="1562" customFormat="1" ht="14.25" hidden="1" customHeight="1">
      <c r="C2" s="1546"/>
      <c r="D2" s="2450" t="s">
        <v>110</v>
      </c>
      <c r="E2" s="2452"/>
      <c r="F2" s="1552"/>
      <c r="G2" s="1547" t="s">
        <v>110</v>
      </c>
      <c r="H2" s="1550"/>
      <c r="I2" s="1548"/>
      <c r="L2" s="1549"/>
      <c r="M2" s="1549"/>
      <c r="N2" s="1549"/>
      <c r="O2" s="1549" t="s">
        <v>389</v>
      </c>
      <c r="P2" s="1549"/>
      <c r="Q2" s="1549"/>
      <c r="R2" s="1551" t="s">
        <v>388</v>
      </c>
      <c r="S2" s="1551" t="s">
        <v>388</v>
      </c>
      <c r="T2" s="1549"/>
      <c r="U2" s="1549"/>
      <c r="V2" s="1545">
        <v>0</v>
      </c>
    </row>
    <row r="3" spans="1:22" s="1562" customFormat="1" ht="14.25" hidden="1" customHeight="1">
      <c r="C3" s="1546"/>
      <c r="D3" s="2451"/>
      <c r="E3" s="2453"/>
      <c r="F3" s="342"/>
      <c r="G3" s="800"/>
      <c r="H3" s="800" t="s">
        <v>390</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363</v>
      </c>
      <c r="I5" s="639"/>
      <c r="J5" s="639"/>
      <c r="L5" s="1541"/>
      <c r="M5" s="1541"/>
      <c r="N5" s="1541"/>
      <c r="O5" s="1541"/>
      <c r="P5" s="1541"/>
      <c r="Q5" s="1541"/>
      <c r="R5" s="1541"/>
      <c r="S5" s="1541"/>
      <c r="T5" s="1541"/>
      <c r="U5" s="1541"/>
      <c r="V5" s="1540">
        <v>5</v>
      </c>
    </row>
    <row r="6" spans="1:22" ht="29.25" customHeight="1">
      <c r="C6" s="1443"/>
      <c r="D6" s="2449" t="s">
        <v>391</v>
      </c>
      <c r="E6" s="2449"/>
      <c r="F6" s="2449"/>
      <c r="G6" s="2449"/>
      <c r="H6" s="2449"/>
      <c r="I6" s="2449"/>
      <c r="J6" s="428"/>
      <c r="K6" s="1542"/>
      <c r="V6" s="1534">
        <v>28</v>
      </c>
    </row>
    <row r="7" spans="1:22" ht="18" customHeight="1">
      <c r="C7" s="1443"/>
      <c r="D7" s="2421" t="str">
        <f>IF(org=0,"Не определено",org)</f>
        <v>МУП "Городские тепловые сети" МО  "город Курчатов"</v>
      </c>
      <c r="E7" s="2421"/>
      <c r="F7" s="2421"/>
      <c r="G7" s="2421"/>
      <c r="H7" s="2421"/>
      <c r="I7" s="2421"/>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434" t="s">
        <v>307</v>
      </c>
      <c r="E10" s="2447"/>
      <c r="F10" s="2447"/>
      <c r="G10" s="2447"/>
      <c r="H10" s="2447"/>
      <c r="I10" s="2447"/>
      <c r="J10" s="2391" t="s">
        <v>308</v>
      </c>
      <c r="V10" s="1534">
        <v>14</v>
      </c>
    </row>
    <row r="11" spans="1:22" ht="27.4" customHeight="1">
      <c r="C11" s="1443"/>
      <c r="D11" s="2332" t="s">
        <v>89</v>
      </c>
      <c r="E11" s="2391" t="s">
        <v>106</v>
      </c>
      <c r="F11" s="2402" t="s">
        <v>89</v>
      </c>
      <c r="G11" s="2403"/>
      <c r="H11" s="2401" t="s">
        <v>392</v>
      </c>
      <c r="I11" s="2401" t="s">
        <v>393</v>
      </c>
      <c r="J11" s="2391"/>
      <c r="V11" s="1534">
        <v>26</v>
      </c>
    </row>
    <row r="12" spans="1:22" ht="14.65" customHeight="1">
      <c r="C12" s="1443"/>
      <c r="D12" s="2332"/>
      <c r="E12" s="2391"/>
      <c r="F12" s="2407"/>
      <c r="G12" s="2408"/>
      <c r="H12" s="2454"/>
      <c r="I12" s="2454"/>
      <c r="J12" s="2391"/>
      <c r="V12" s="1534">
        <v>14</v>
      </c>
    </row>
    <row r="13" spans="1:22" s="1568" customFormat="1" ht="11.25" hidden="1" customHeight="1">
      <c r="C13" s="435"/>
      <c r="D13" s="436" t="s">
        <v>383</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450" t="s">
        <v>110</v>
      </c>
      <c r="E14" s="2452"/>
      <c r="F14" s="1544"/>
      <c r="G14" s="1543" t="s">
        <v>110</v>
      </c>
      <c r="H14" s="1550"/>
      <c r="I14" s="1548"/>
      <c r="J14" s="2378" t="s">
        <v>394</v>
      </c>
      <c r="K14" s="1534"/>
      <c r="R14" s="437" t="s">
        <v>388</v>
      </c>
      <c r="S14" s="437" t="s">
        <v>388</v>
      </c>
      <c r="V14" s="1534">
        <v>14</v>
      </c>
    </row>
    <row r="15" spans="1:22" ht="14.65" customHeight="1">
      <c r="A15" s="1534"/>
      <c r="C15" s="1443"/>
      <c r="D15" s="2451"/>
      <c r="E15" s="2453"/>
      <c r="F15" s="342"/>
      <c r="G15" s="800"/>
      <c r="H15" s="800" t="s">
        <v>390</v>
      </c>
      <c r="I15" s="251"/>
      <c r="J15" s="2379"/>
      <c r="K15" s="1534"/>
      <c r="R15" s="437"/>
      <c r="S15" s="437"/>
      <c r="V15" s="1534">
        <v>14</v>
      </c>
    </row>
    <row r="16" spans="1:22" ht="14.65" customHeight="1">
      <c r="A16" s="1534"/>
      <c r="C16" s="1443"/>
      <c r="D16" s="342"/>
      <c r="E16" s="800" t="s">
        <v>122</v>
      </c>
      <c r="F16" s="251"/>
      <c r="G16" s="251"/>
      <c r="H16" s="343"/>
      <c r="I16" s="343"/>
      <c r="J16" s="2380"/>
      <c r="K16" s="1534"/>
      <c r="V16" s="1534">
        <v>14</v>
      </c>
    </row>
    <row r="17" spans="1:22" ht="14.65" customHeight="1">
      <c r="K17" s="1534"/>
      <c r="V17" s="1534">
        <v>14</v>
      </c>
    </row>
    <row r="18" spans="1:22" ht="22.5" hidden="1" customHeight="1">
      <c r="A18" s="1535" t="s">
        <v>83</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2B7BE-1D5B-CD51-B248-B01DE721E341}">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84</v>
      </c>
      <c r="H1" s="426" t="s">
        <v>85</v>
      </c>
      <c r="I1" s="426" t="s">
        <v>86</v>
      </c>
      <c r="P1" s="426" t="s">
        <v>84</v>
      </c>
      <c r="Q1" s="426" t="s">
        <v>85</v>
      </c>
      <c r="R1" s="426" t="s">
        <v>86</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325" t="s">
        <v>395</v>
      </c>
      <c r="F4" s="2325"/>
      <c r="G4" s="2326"/>
      <c r="H4" s="2326"/>
      <c r="I4" s="2327"/>
      <c r="J4" s="428"/>
      <c r="K4" s="390"/>
      <c r="L4" s="390"/>
      <c r="W4" s="384">
        <v>22</v>
      </c>
    </row>
    <row r="5" spans="1:23" s="1562" customFormat="1" ht="18" customHeight="1">
      <c r="A5" s="694"/>
      <c r="D5" s="753"/>
      <c r="E5" s="2443" t="str">
        <f>IF(org=0,"Не определено",org)</f>
        <v>МУП "Городские тепловые сети" МО  "город Курчатов"</v>
      </c>
      <c r="F5" s="2443"/>
      <c r="G5" s="2444"/>
      <c r="H5" s="2444"/>
      <c r="I5" s="2445"/>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428" t="s">
        <v>307</v>
      </c>
      <c r="F7" s="2428"/>
      <c r="G7" s="2429"/>
      <c r="H7" s="2429"/>
      <c r="I7" s="2429"/>
      <c r="J7" s="2429"/>
      <c r="K7" s="2429"/>
      <c r="L7" s="2391" t="s">
        <v>308</v>
      </c>
      <c r="W7" s="384">
        <v>14</v>
      </c>
    </row>
    <row r="8" spans="1:23" ht="48.2" customHeight="1">
      <c r="D8" s="387"/>
      <c r="E8" s="410" t="s">
        <v>89</v>
      </c>
      <c r="F8" s="754"/>
      <c r="G8" s="402" t="s">
        <v>87</v>
      </c>
      <c r="H8" s="402" t="s">
        <v>88</v>
      </c>
      <c r="I8" s="351" t="s">
        <v>86</v>
      </c>
      <c r="J8" s="351" t="s">
        <v>396</v>
      </c>
      <c r="K8" s="351" t="s">
        <v>397</v>
      </c>
      <c r="L8" s="2391"/>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441" t="s">
        <v>398</v>
      </c>
      <c r="M10" s="444"/>
      <c r="N10" s="442"/>
      <c r="O10" s="442"/>
      <c r="P10" s="442"/>
      <c r="Q10" s="442"/>
      <c r="R10" s="442"/>
      <c r="S10" s="442"/>
      <c r="T10" s="442"/>
      <c r="U10" s="442"/>
      <c r="V10" s="442"/>
      <c r="W10" s="384">
        <v>0</v>
      </c>
    </row>
    <row r="11" spans="1:23" ht="15" hidden="1" customHeight="1">
      <c r="A11" s="2317"/>
      <c r="B11" s="441"/>
      <c r="C11" s="441"/>
      <c r="D11" s="796"/>
      <c r="E11" s="450"/>
      <c r="F11" s="450"/>
      <c r="G11" s="450"/>
      <c r="H11" s="450"/>
      <c r="I11" s="451"/>
      <c r="J11" s="452"/>
      <c r="K11" s="650"/>
      <c r="L11" s="2455"/>
      <c r="M11" s="448"/>
      <c r="N11" s="448"/>
      <c r="O11" s="448"/>
      <c r="P11" s="453"/>
      <c r="Q11" s="453"/>
      <c r="R11" s="454"/>
      <c r="S11" s="448"/>
      <c r="T11" s="448"/>
      <c r="U11" s="448"/>
      <c r="V11" s="448"/>
      <c r="W11" s="384">
        <v>0</v>
      </c>
    </row>
    <row r="12" spans="1:23" s="1539" customFormat="1" ht="15" customHeight="1">
      <c r="A12" s="2317"/>
      <c r="B12" s="441"/>
      <c r="C12" s="441"/>
      <c r="D12" s="797"/>
      <c r="E12" s="754">
        <v>1</v>
      </c>
      <c r="F12" s="795">
        <v>23</v>
      </c>
      <c r="G12" s="794"/>
      <c r="H12" s="724"/>
      <c r="I12" s="722"/>
      <c r="J12" s="457" t="s">
        <v>67</v>
      </c>
      <c r="K12" s="1091" t="s">
        <v>28</v>
      </c>
      <c r="L12" s="2455"/>
      <c r="M12" s="448"/>
      <c r="N12" s="448"/>
      <c r="O12" s="448"/>
      <c r="P12" s="453" t="s">
        <v>399</v>
      </c>
      <c r="Q12" s="453" t="s">
        <v>400</v>
      </c>
      <c r="R12" s="454" t="s">
        <v>401</v>
      </c>
      <c r="S12" s="448" t="s">
        <v>402</v>
      </c>
      <c r="T12" s="448"/>
      <c r="U12" s="448"/>
      <c r="V12" s="448"/>
      <c r="W12" s="417">
        <v>14</v>
      </c>
    </row>
    <row r="13" spans="1:23" ht="15.75" customHeight="1">
      <c r="A13" s="2317"/>
      <c r="B13" s="442"/>
      <c r="D13" s="443"/>
      <c r="E13" s="342"/>
      <c r="F13" s="466"/>
      <c r="G13" s="353" t="s">
        <v>103</v>
      </c>
      <c r="H13" s="341"/>
      <c r="I13" s="341"/>
      <c r="J13" s="341"/>
      <c r="K13" s="340"/>
      <c r="L13" s="2442"/>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83</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7620C-5269-424D-60B5-F5721E25C39D}">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2" customWidth="1"/>
    <col min="19" max="19" width="12" style="2009"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468">
        <v>1</v>
      </c>
      <c r="F2" s="1290"/>
      <c r="G2" s="1290"/>
      <c r="H2" s="1290"/>
      <c r="I2" s="1290"/>
      <c r="J2" s="1290"/>
      <c r="K2" s="1290"/>
      <c r="L2" s="1291"/>
      <c r="M2" s="1292"/>
      <c r="N2" s="1292"/>
      <c r="O2" s="1292"/>
      <c r="P2" s="298"/>
      <c r="Q2" s="297"/>
      <c r="R2" s="292"/>
      <c r="S2" s="1236" t="e">
        <f>INDEX(PT_DIFFERENTIATION_NUM_NTAR,MATCH(A2,PT_DIFFERENTIATION_NTAR_ID,0))</f>
        <v>#N/A</v>
      </c>
      <c r="T2" s="236" t="s">
        <v>124</v>
      </c>
      <c r="U2" s="238"/>
      <c r="V2" s="2462"/>
      <c r="W2" s="2463"/>
      <c r="X2" s="2463"/>
      <c r="Y2" s="2463"/>
      <c r="Z2" s="2463"/>
      <c r="AA2" s="2463"/>
      <c r="AB2" s="2463"/>
      <c r="AC2" s="2464"/>
      <c r="AD2" s="2462" t="e">
        <f>INDEX(PT_DIFFERENTIATION_NTAR,MATCH(A2,PT_DIFFERENTIATION_NTAR_ID,0))</f>
        <v>#N/A</v>
      </c>
      <c r="AE2" s="2463"/>
      <c r="AF2" s="2463"/>
      <c r="AG2" s="2463"/>
      <c r="AH2" s="2463"/>
      <c r="AI2" s="2463"/>
      <c r="AJ2" s="2463"/>
      <c r="AK2" s="2463"/>
      <c r="AL2" s="2464"/>
      <c r="AM2" s="1185" t="s">
        <v>403</v>
      </c>
      <c r="AO2" s="437"/>
      <c r="AP2" s="437" t="str">
        <f t="shared" ref="AP2:AP15" si="0">IF(T2="","",T2)</f>
        <v>Наименование тарифа</v>
      </c>
      <c r="AQ2" s="437"/>
      <c r="AR2" s="437"/>
      <c r="AS2" s="1082">
        <v>0</v>
      </c>
    </row>
    <row r="3" spans="1:45" ht="21" hidden="1" customHeight="1">
      <c r="A3" s="1290"/>
      <c r="B3" s="1290"/>
      <c r="C3" s="1290"/>
      <c r="D3" s="1290"/>
      <c r="E3" s="2469"/>
      <c r="F3" s="2468">
        <v>1</v>
      </c>
      <c r="G3" s="1290"/>
      <c r="H3" s="1290"/>
      <c r="I3" s="1290"/>
      <c r="J3" s="1290"/>
      <c r="K3" s="1290"/>
      <c r="L3" s="1291"/>
      <c r="M3" s="1292"/>
      <c r="N3" s="1292"/>
      <c r="O3" s="1292"/>
      <c r="P3" s="1231"/>
      <c r="Q3" s="289"/>
      <c r="R3" s="290"/>
      <c r="S3" s="1236" t="e">
        <f>INDEX(PT_DIFFERENTIATION_NUM_TER,MATCH(B3,PT_DIFFERENTIATION_TER_ID,0))</f>
        <v>#N/A</v>
      </c>
      <c r="T3" s="246" t="s">
        <v>404</v>
      </c>
      <c r="U3" s="238"/>
      <c r="V3" s="2462"/>
      <c r="W3" s="2463"/>
      <c r="X3" s="2463"/>
      <c r="Y3" s="2463"/>
      <c r="Z3" s="2463"/>
      <c r="AA3" s="2463"/>
      <c r="AB3" s="2463"/>
      <c r="AC3" s="2464"/>
      <c r="AD3" s="2462" t="e">
        <f>INDEX(PT_DIFFERENTIATION_TER,MATCH(B3,PT_DIFFERENTIATION_TER_ID,0))</f>
        <v>#N/A</v>
      </c>
      <c r="AE3" s="2463"/>
      <c r="AF3" s="2463"/>
      <c r="AG3" s="2463"/>
      <c r="AH3" s="2463"/>
      <c r="AI3" s="2463"/>
      <c r="AJ3" s="2463"/>
      <c r="AK3" s="2463"/>
      <c r="AL3" s="2464"/>
      <c r="AM3" s="1185" t="s">
        <v>405</v>
      </c>
      <c r="AO3" s="437"/>
      <c r="AP3" s="437" t="str">
        <f t="shared" si="0"/>
        <v>Территория действия тарифа</v>
      </c>
      <c r="AQ3" s="437"/>
      <c r="AR3" s="437"/>
      <c r="AS3" s="1082">
        <v>0</v>
      </c>
    </row>
    <row r="4" spans="1:45" ht="23.25" hidden="1" customHeight="1">
      <c r="A4" s="1290"/>
      <c r="B4" s="1290"/>
      <c r="C4" s="1290"/>
      <c r="D4" s="1290"/>
      <c r="E4" s="2469"/>
      <c r="F4" s="2469"/>
      <c r="G4" s="2468">
        <v>1</v>
      </c>
      <c r="H4" s="1290"/>
      <c r="I4" s="1290"/>
      <c r="J4" s="1290"/>
      <c r="K4" s="1290"/>
      <c r="L4" s="1291"/>
      <c r="M4" s="1292"/>
      <c r="N4" s="1292"/>
      <c r="O4" s="1292"/>
      <c r="P4" s="291"/>
      <c r="Q4" s="289"/>
      <c r="R4" s="290"/>
      <c r="S4" s="1236" t="e">
        <f>INDEX(PT_DIFFERENTIATION_NUM_CS,MATCH(C4,PT_DIFFERENTIATION_CS_ID,0))</f>
        <v>#N/A</v>
      </c>
      <c r="T4" s="247" t="s">
        <v>406</v>
      </c>
      <c r="U4" s="238"/>
      <c r="V4" s="2462"/>
      <c r="W4" s="2463"/>
      <c r="X4" s="2463"/>
      <c r="Y4" s="2463"/>
      <c r="Z4" s="2463"/>
      <c r="AA4" s="2463"/>
      <c r="AB4" s="2463"/>
      <c r="AC4" s="2464"/>
      <c r="AD4" s="2462" t="e">
        <f>INDEX(PT_DIFFERENTIATION_CS,MATCH(C4,PT_DIFFERENTIATION_CS_ID,0))</f>
        <v>#N/A</v>
      </c>
      <c r="AE4" s="2463"/>
      <c r="AF4" s="2463"/>
      <c r="AG4" s="2463"/>
      <c r="AH4" s="2463"/>
      <c r="AI4" s="2463"/>
      <c r="AJ4" s="2463"/>
      <c r="AK4" s="2463"/>
      <c r="AL4" s="2464"/>
      <c r="AM4" s="1185" t="s">
        <v>407</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469"/>
      <c r="F5" s="2469"/>
      <c r="G5" s="2469"/>
      <c r="H5" s="2468">
        <v>1</v>
      </c>
      <c r="I5" s="1290"/>
      <c r="J5" s="1290"/>
      <c r="K5" s="1290"/>
      <c r="L5" s="1291"/>
      <c r="M5" s="1292"/>
      <c r="N5" s="1292"/>
      <c r="O5" s="1292"/>
      <c r="P5" s="291"/>
      <c r="Q5" s="289"/>
      <c r="R5" s="290"/>
      <c r="S5" s="1236" t="e">
        <f>INDEX(PT_DIFFERENTIATION_NUM_IST_TE,MATCH(D5,PT_DIFFERENTIATION_IST_TE_ID,0))</f>
        <v>#N/A</v>
      </c>
      <c r="T5" s="248" t="s">
        <v>408</v>
      </c>
      <c r="U5" s="238"/>
      <c r="V5" s="2462"/>
      <c r="W5" s="2463"/>
      <c r="X5" s="2463"/>
      <c r="Y5" s="2463"/>
      <c r="Z5" s="2463"/>
      <c r="AA5" s="2463"/>
      <c r="AB5" s="2463"/>
      <c r="AC5" s="2464"/>
      <c r="AD5" s="2462" t="e">
        <f>INDEX(PT_DIFFERENTIATION_IST_TE,MATCH(D5,PT_DIFFERENTIATION_IST_TE_ID,0))</f>
        <v>#N/A</v>
      </c>
      <c r="AE5" s="2463"/>
      <c r="AF5" s="2463"/>
      <c r="AG5" s="2463"/>
      <c r="AH5" s="2463"/>
      <c r="AI5" s="2463"/>
      <c r="AJ5" s="2463"/>
      <c r="AK5" s="2463"/>
      <c r="AL5" s="2464"/>
      <c r="AM5" s="1185" t="s">
        <v>409</v>
      </c>
      <c r="AO5" s="437"/>
      <c r="AP5" s="437" t="str">
        <f t="shared" si="0"/>
        <v xml:space="preserve">Источник тепловой энергии  </v>
      </c>
      <c r="AQ5" s="437"/>
      <c r="AR5" s="437"/>
      <c r="AS5" s="1082">
        <v>0</v>
      </c>
    </row>
    <row r="6" spans="1:45" ht="47.25" hidden="1" customHeight="1">
      <c r="A6" s="1290"/>
      <c r="B6" s="1290"/>
      <c r="C6" s="1290"/>
      <c r="D6" s="1290"/>
      <c r="E6" s="2469"/>
      <c r="F6" s="2469"/>
      <c r="G6" s="2469"/>
      <c r="H6" s="2469"/>
      <c r="I6" s="2470" t="e">
        <f>S5&amp;".1"</f>
        <v>#N/A</v>
      </c>
      <c r="J6" s="1290"/>
      <c r="K6" s="1290"/>
      <c r="L6" s="1291" t="s">
        <v>410</v>
      </c>
      <c r="M6" s="474"/>
      <c r="P6" s="2472">
        <v>1</v>
      </c>
      <c r="Q6" s="1232"/>
      <c r="R6" s="293"/>
      <c r="S6" s="1236" t="e">
        <f>$I6</f>
        <v>#N/A</v>
      </c>
      <c r="T6" s="223" t="s">
        <v>411</v>
      </c>
      <c r="U6" s="238"/>
      <c r="V6" s="2456"/>
      <c r="W6" s="2457"/>
      <c r="X6" s="2457"/>
      <c r="Y6" s="2457"/>
      <c r="Z6" s="2457"/>
      <c r="AA6" s="2457"/>
      <c r="AB6" s="2457"/>
      <c r="AC6" s="2458"/>
      <c r="AD6" s="2456"/>
      <c r="AE6" s="2457"/>
      <c r="AF6" s="2457"/>
      <c r="AG6" s="2457"/>
      <c r="AH6" s="2457"/>
      <c r="AI6" s="2457"/>
      <c r="AJ6" s="2457"/>
      <c r="AK6" s="2457"/>
      <c r="AL6" s="2458"/>
      <c r="AM6" s="1185" t="s">
        <v>412</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469"/>
      <c r="F7" s="2469"/>
      <c r="G7" s="2469"/>
      <c r="H7" s="2469"/>
      <c r="I7" s="2471"/>
      <c r="J7" s="2470" t="e">
        <f>I6&amp;".1"</f>
        <v>#N/A</v>
      </c>
      <c r="K7" s="1290"/>
      <c r="L7" s="1291" t="s">
        <v>413</v>
      </c>
      <c r="M7" s="474"/>
      <c r="N7" s="1293"/>
      <c r="P7" s="2472"/>
      <c r="Q7" s="2472">
        <v>1</v>
      </c>
      <c r="R7" s="294"/>
      <c r="S7" s="1236" t="e">
        <f>$J7</f>
        <v>#N/A</v>
      </c>
      <c r="T7" s="224" t="s">
        <v>414</v>
      </c>
      <c r="U7" s="238"/>
      <c r="V7" s="2456"/>
      <c r="W7" s="2457"/>
      <c r="X7" s="2457"/>
      <c r="Y7" s="2457"/>
      <c r="Z7" s="2457"/>
      <c r="AA7" s="2457"/>
      <c r="AB7" s="2457"/>
      <c r="AC7" s="2458"/>
      <c r="AD7" s="2456"/>
      <c r="AE7" s="2457"/>
      <c r="AF7" s="2457"/>
      <c r="AG7" s="2457"/>
      <c r="AH7" s="2457"/>
      <c r="AI7" s="2457"/>
      <c r="AJ7" s="2457"/>
      <c r="AK7" s="2457"/>
      <c r="AL7" s="2458"/>
      <c r="AM7" s="1185" t="s">
        <v>415</v>
      </c>
      <c r="AO7" s="437"/>
      <c r="AP7" s="437" t="str">
        <f t="shared" si="0"/>
        <v>Группа потребителей</v>
      </c>
      <c r="AQ7" s="437"/>
      <c r="AR7" s="437"/>
      <c r="AS7" s="1082">
        <v>0</v>
      </c>
    </row>
    <row r="8" spans="1:45" ht="21" hidden="1" customHeight="1">
      <c r="A8" s="1290"/>
      <c r="B8" s="1290"/>
      <c r="C8" s="1290"/>
      <c r="D8" s="1290"/>
      <c r="E8" s="2469"/>
      <c r="F8" s="2469"/>
      <c r="G8" s="2469"/>
      <c r="H8" s="2469"/>
      <c r="I8" s="2471"/>
      <c r="J8" s="2471"/>
      <c r="K8" s="2470" t="e">
        <f>J7&amp;".1"</f>
        <v>#N/A</v>
      </c>
      <c r="L8" s="1291" t="s">
        <v>416</v>
      </c>
      <c r="M8" s="474"/>
      <c r="N8" s="1293"/>
      <c r="O8" s="1293"/>
      <c r="P8" s="2472"/>
      <c r="Q8" s="2472"/>
      <c r="R8" s="294">
        <v>1</v>
      </c>
      <c r="S8" s="1236" t="e">
        <f>$K8</f>
        <v>#N/A</v>
      </c>
      <c r="T8" s="1274"/>
      <c r="U8" s="238"/>
      <c r="V8" s="688"/>
      <c r="W8" s="263"/>
      <c r="X8" s="688"/>
      <c r="Y8" s="1184"/>
      <c r="Z8" s="2473"/>
      <c r="AA8" s="2342" t="s">
        <v>67</v>
      </c>
      <c r="AB8" s="2473"/>
      <c r="AC8" s="2342" t="s">
        <v>67</v>
      </c>
      <c r="AD8" s="688"/>
      <c r="AE8" s="263"/>
      <c r="AF8" s="688"/>
      <c r="AG8" s="1184"/>
      <c r="AH8" s="2473"/>
      <c r="AI8" s="2342" t="s">
        <v>67</v>
      </c>
      <c r="AJ8" s="2473"/>
      <c r="AK8" s="2342" t="s">
        <v>67</v>
      </c>
      <c r="AL8" s="263"/>
      <c r="AM8" s="2491" t="s">
        <v>417</v>
      </c>
      <c r="AN8" s="448" t="e">
        <f ca="1">STRCHECKDATE(V9:AL9)</f>
        <v>#NAME?</v>
      </c>
      <c r="AO8" s="437"/>
      <c r="AP8" s="437" t="str">
        <f t="shared" si="0"/>
        <v/>
      </c>
      <c r="AQ8" s="437"/>
      <c r="AR8" s="437"/>
      <c r="AS8" s="1082">
        <v>0</v>
      </c>
    </row>
    <row r="9" spans="1:45" ht="0.75" hidden="1" customHeight="1">
      <c r="A9" s="1290"/>
      <c r="B9" s="1290"/>
      <c r="C9" s="1290"/>
      <c r="D9" s="1290"/>
      <c r="E9" s="2469"/>
      <c r="F9" s="2469"/>
      <c r="G9" s="2469"/>
      <c r="H9" s="2469"/>
      <c r="I9" s="2471"/>
      <c r="J9" s="2471"/>
      <c r="K9" s="2470"/>
      <c r="L9" s="1291"/>
      <c r="M9" s="474"/>
      <c r="N9" s="1293"/>
      <c r="O9" s="1293"/>
      <c r="P9" s="2472"/>
      <c r="Q9" s="2472"/>
      <c r="R9" s="294"/>
      <c r="S9" s="1233"/>
      <c r="T9" s="238"/>
      <c r="U9" s="238"/>
      <c r="V9" s="263"/>
      <c r="W9" s="263"/>
      <c r="X9" s="263"/>
      <c r="Y9" s="266" t="str">
        <f>Z8&amp;"-"&amp;AB8</f>
        <v>-</v>
      </c>
      <c r="Z9" s="2474"/>
      <c r="AA9" s="2342"/>
      <c r="AB9" s="2474"/>
      <c r="AC9" s="2342"/>
      <c r="AD9" s="263"/>
      <c r="AE9" s="263"/>
      <c r="AF9" s="263"/>
      <c r="AG9" s="266" t="str">
        <f>AH8&amp;"-"&amp;AJ8</f>
        <v>-</v>
      </c>
      <c r="AH9" s="2474"/>
      <c r="AI9" s="2342"/>
      <c r="AJ9" s="2474"/>
      <c r="AK9" s="2342"/>
      <c r="AL9" s="263"/>
      <c r="AM9" s="2492"/>
      <c r="AO9" s="437"/>
      <c r="AP9" s="437" t="str">
        <f t="shared" si="0"/>
        <v/>
      </c>
      <c r="AQ9" s="437"/>
      <c r="AR9" s="437"/>
      <c r="AS9" s="1082">
        <v>0</v>
      </c>
    </row>
    <row r="10" spans="1:45" ht="15" hidden="1" customHeight="1">
      <c r="A10" s="1290"/>
      <c r="B10" s="1290"/>
      <c r="C10" s="1290"/>
      <c r="D10" s="1290"/>
      <c r="E10" s="2469"/>
      <c r="F10" s="2469"/>
      <c r="G10" s="2469"/>
      <c r="H10" s="2469"/>
      <c r="I10" s="2471"/>
      <c r="J10" s="2470"/>
      <c r="K10" s="1290"/>
      <c r="L10" s="1291"/>
      <c r="M10" s="474"/>
      <c r="N10" s="1293"/>
      <c r="P10" s="2472"/>
      <c r="Q10" s="2472"/>
      <c r="R10" s="293"/>
      <c r="S10" s="1205"/>
      <c r="T10" s="226" t="s">
        <v>418</v>
      </c>
      <c r="U10" s="304"/>
      <c r="V10" s="304"/>
      <c r="W10" s="304"/>
      <c r="X10" s="304"/>
      <c r="Y10" s="304"/>
      <c r="Z10" s="304"/>
      <c r="AA10" s="304"/>
      <c r="AB10" s="304"/>
      <c r="AC10" s="304"/>
      <c r="AD10" s="304"/>
      <c r="AE10" s="304"/>
      <c r="AF10" s="304"/>
      <c r="AG10" s="304"/>
      <c r="AH10" s="304"/>
      <c r="AI10" s="304"/>
      <c r="AJ10" s="304"/>
      <c r="AK10" s="304"/>
      <c r="AL10" s="262"/>
      <c r="AM10" s="2493"/>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469"/>
      <c r="F11" s="2469"/>
      <c r="G11" s="2469"/>
      <c r="H11" s="2469"/>
      <c r="I11" s="2470"/>
      <c r="J11" s="1290"/>
      <c r="K11" s="1290"/>
      <c r="L11" s="1291"/>
      <c r="M11" s="474"/>
      <c r="P11" s="2472"/>
      <c r="Q11" s="1232"/>
      <c r="R11" s="293"/>
      <c r="S11" s="1205"/>
      <c r="T11" s="225" t="s">
        <v>419</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469"/>
      <c r="F12" s="2469"/>
      <c r="G12" s="2469"/>
      <c r="H12" s="2468"/>
      <c r="I12" s="1290"/>
      <c r="J12" s="1290"/>
      <c r="K12" s="1290"/>
      <c r="L12" s="1291"/>
      <c r="M12" s="1292"/>
      <c r="N12" s="1292"/>
      <c r="O12" s="474"/>
      <c r="P12" s="297"/>
      <c r="Q12" s="312"/>
      <c r="R12" s="292"/>
      <c r="S12" s="1205"/>
      <c r="T12" s="302" t="s">
        <v>420</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469"/>
      <c r="F13" s="2469"/>
      <c r="G13" s="2468"/>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469"/>
      <c r="F14" s="2468"/>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468"/>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466"/>
      <c r="AI17" s="2465" t="s">
        <v>67</v>
      </c>
      <c r="AJ17" s="2466"/>
      <c r="AK17" s="2465" t="s">
        <v>67</v>
      </c>
      <c r="AS17" s="1082">
        <v>0</v>
      </c>
    </row>
    <row r="18" spans="1:45" ht="14.25" hidden="1" customHeight="1">
      <c r="P18" s="1238"/>
      <c r="AD18" s="1287"/>
      <c r="AE18" s="1287"/>
      <c r="AF18" s="1287"/>
      <c r="AG18" s="266" t="str">
        <f>AH17&amp;"-"&amp;AJ17</f>
        <v>-</v>
      </c>
      <c r="AH18" s="2465"/>
      <c r="AI18" s="2465"/>
      <c r="AJ18" s="2465"/>
      <c r="AK18" s="2465"/>
      <c r="AS18" s="1082">
        <v>0</v>
      </c>
    </row>
    <row r="19" spans="1:45" ht="14.25" hidden="1" customHeight="1">
      <c r="P19" s="1238"/>
      <c r="AK19" s="265"/>
      <c r="AS19" s="1082">
        <v>0</v>
      </c>
    </row>
    <row r="20" spans="1:45" s="1293" customFormat="1" ht="22.5" hidden="1" customHeight="1">
      <c r="L20" s="1256"/>
      <c r="M20" s="1289"/>
      <c r="N20" s="1289"/>
      <c r="O20" s="1294" t="s">
        <v>421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422</v>
      </c>
      <c r="P22" s="1289"/>
      <c r="Q22" s="1298"/>
      <c r="R22" s="1298"/>
      <c r="S22" s="666"/>
      <c r="T22" s="1087" t="s">
        <v>423</v>
      </c>
      <c r="AA22" s="124" t="s">
        <v>424</v>
      </c>
      <c r="AC22" s="124" t="s">
        <v>425</v>
      </c>
      <c r="AD22" s="1087" t="s">
        <v>423</v>
      </c>
      <c r="AI22" s="124" t="s">
        <v>426</v>
      </c>
      <c r="AK22" s="124" t="s">
        <v>425</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4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49"/>
      <c r="U26" s="2449"/>
      <c r="V26" s="2449"/>
      <c r="W26" s="2449"/>
      <c r="X26" s="2449"/>
      <c r="Y26" s="2449"/>
      <c r="Z26" s="2449"/>
      <c r="AA26" s="2449"/>
      <c r="AB26" s="2449"/>
      <c r="AC26" s="2449"/>
      <c r="AD26" s="2449"/>
      <c r="AE26" s="2449"/>
      <c r="AF26" s="2449"/>
      <c r="AG26" s="2449"/>
      <c r="AH26" s="2449"/>
      <c r="AI26" s="2449"/>
      <c r="AJ26" s="2449"/>
      <c r="AK26" s="1170"/>
      <c r="AS26" s="1082">
        <v>14</v>
      </c>
    </row>
    <row r="27" spans="1:45" ht="14.65" customHeight="1">
      <c r="Q27" s="313"/>
      <c r="R27" s="313"/>
      <c r="S27" s="2421" t="str">
        <f>IF(org=0,"Не определено",org)</f>
        <v>МУП "Городские тепловые сети" МО  "город Курчатов"</v>
      </c>
      <c r="T27" s="2421"/>
      <c r="U27" s="2421"/>
      <c r="V27" s="2421"/>
      <c r="W27" s="2421"/>
      <c r="X27" s="2421"/>
      <c r="Y27" s="2421"/>
      <c r="Z27" s="2421"/>
      <c r="AA27" s="2421"/>
      <c r="AB27" s="2421"/>
      <c r="AC27" s="2421"/>
      <c r="AD27" s="2421"/>
      <c r="AE27" s="2421"/>
      <c r="AF27" s="2421"/>
      <c r="AG27" s="2421"/>
      <c r="AH27" s="2421"/>
      <c r="AI27" s="2421"/>
      <c r="AJ27" s="2421"/>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459" t="s">
        <v>42</v>
      </c>
      <c r="T29" s="2459"/>
      <c r="U29" s="1299"/>
      <c r="V29" s="2461" t="str">
        <f>IF(TITLE_NAME_OR_PR_CHANGE="",IF(TITLE_NAME_OR_PR="","",TITLE_NAME_OR_PR),TITLE_NAME_OR_PR_CHANGE)</f>
        <v/>
      </c>
      <c r="W29" s="2461"/>
      <c r="X29" s="2461"/>
      <c r="Y29" s="2461"/>
      <c r="Z29" s="2461"/>
      <c r="AA29" s="2461"/>
      <c r="AB29" s="2461"/>
      <c r="AC29" s="264"/>
      <c r="AD29" s="2461" t="str">
        <f>IF(TITLE_NAME_OR_PR_CHANGE="",IF(TITLE_NAME_OR_PR="","",TITLE_NAME_OR_PR),TITLE_NAME_OR_PR_CHANGE)</f>
        <v/>
      </c>
      <c r="AE29" s="2461"/>
      <c r="AF29" s="2461"/>
      <c r="AG29" s="2461"/>
      <c r="AH29" s="2461"/>
      <c r="AI29" s="2461"/>
      <c r="AJ29" s="2461"/>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459" t="s">
        <v>427</v>
      </c>
      <c r="T30" s="2459"/>
      <c r="U30" s="1299"/>
      <c r="V30" s="2460">
        <f>IF(TITLE_DATE_PR_CHANGE="",IF(TITLE_DATE_PR="","",TITLE_DATE_PR),TITLE_DATE_PR_CHANGE)</f>
        <v>45775</v>
      </c>
      <c r="W30" s="2460"/>
      <c r="X30" s="2460"/>
      <c r="Y30" s="2460"/>
      <c r="Z30" s="2460"/>
      <c r="AA30" s="2460"/>
      <c r="AB30" s="2460"/>
      <c r="AC30" s="264"/>
      <c r="AD30" s="2460">
        <f>IF(TITLE_DATE_PR_CHANGE="",IF(TITLE_DATE_PR="","",TITLE_DATE_PR),TITLE_DATE_PR_CHANGE)</f>
        <v>45775</v>
      </c>
      <c r="AE30" s="2460"/>
      <c r="AF30" s="2460"/>
      <c r="AG30" s="2460"/>
      <c r="AH30" s="2460"/>
      <c r="AI30" s="2460"/>
      <c r="AJ30" s="2460"/>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459" t="s">
        <v>428</v>
      </c>
      <c r="T31" s="2459"/>
      <c r="U31" s="1299"/>
      <c r="V31" s="2461" t="str">
        <f>IF(TITLE_NUMBER_PR_CHANGE="",IF(TITLE_NUMBER_PR="","",TITLE_NUMBER_PR),TITLE_NUMBER_PR_CHANGE)</f>
        <v>03.5-1382</v>
      </c>
      <c r="W31" s="2461"/>
      <c r="X31" s="2461"/>
      <c r="Y31" s="2461"/>
      <c r="Z31" s="2461"/>
      <c r="AA31" s="2461"/>
      <c r="AB31" s="2461"/>
      <c r="AC31" s="264"/>
      <c r="AD31" s="2461" t="str">
        <f>IF(TITLE_NUMBER_PR_CHANGE="",IF(TITLE_NUMBER_PR="","",TITLE_NUMBER_PR),TITLE_NUMBER_PR_CHANGE)</f>
        <v>03.5-1382</v>
      </c>
      <c r="AE31" s="2461"/>
      <c r="AF31" s="2461"/>
      <c r="AG31" s="2461"/>
      <c r="AH31" s="2461"/>
      <c r="AI31" s="2461"/>
      <c r="AJ31" s="2461"/>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459" t="s">
        <v>43</v>
      </c>
      <c r="T32" s="2459"/>
      <c r="U32" s="1299"/>
      <c r="V32" s="2461" t="str">
        <f>IF(TITLE_IST_PUB_CHANGE="",IF(TITLE_IST_PUB="","",TITLE_IST_PUB),TITLE_IST_PUB_CHANGE)</f>
        <v/>
      </c>
      <c r="W32" s="2461"/>
      <c r="X32" s="2461"/>
      <c r="Y32" s="2461"/>
      <c r="Z32" s="2461"/>
      <c r="AA32" s="2461"/>
      <c r="AB32" s="2461"/>
      <c r="AC32" s="264"/>
      <c r="AD32" s="2461" t="str">
        <f>IF(TITLE_IST_PUB_CHANGE="",IF(TITLE_IST_PUB="","",TITLE_IST_PUB),TITLE_IST_PUB_CHANGE)</f>
        <v/>
      </c>
      <c r="AE32" s="2461"/>
      <c r="AF32" s="2461"/>
      <c r="AG32" s="2461"/>
      <c r="AH32" s="2461"/>
      <c r="AI32" s="2461"/>
      <c r="AJ32" s="2461"/>
      <c r="AK32" s="264"/>
      <c r="AL32" s="264"/>
      <c r="AM32" s="218"/>
      <c r="AN32" s="305"/>
      <c r="AO32" s="305"/>
      <c r="AP32" s="305"/>
      <c r="AQ32" s="305"/>
      <c r="AR32" s="305"/>
      <c r="AS32" s="355">
        <v>0</v>
      </c>
    </row>
    <row r="33" spans="1:45" ht="14.25"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459" t="s">
        <v>429</v>
      </c>
      <c r="T34" s="2459"/>
      <c r="U34" s="1299"/>
      <c r="V34" s="2460">
        <f>IF(TITLE_DATE_PR_CHANGE="",IF(TITLE_DATE_PR="","",TITLE_DATE_PR),TITLE_DATE_PR_CHANGE)</f>
        <v>45775</v>
      </c>
      <c r="W34" s="2460"/>
      <c r="X34" s="2460"/>
      <c r="Y34" s="2460"/>
      <c r="Z34" s="2460"/>
      <c r="AA34" s="2460"/>
      <c r="AB34" s="2460"/>
      <c r="AC34" s="264"/>
      <c r="AD34" s="2460">
        <f>IF(TITLE_DATE_PR_CHANGE="",IF(TITLE_DATE_PR="","",TITLE_DATE_PR),TITLE_DATE_PR_CHANGE)</f>
        <v>45775</v>
      </c>
      <c r="AE34" s="2460"/>
      <c r="AF34" s="2460"/>
      <c r="AG34" s="2460"/>
      <c r="AH34" s="2460"/>
      <c r="AI34" s="2460"/>
      <c r="AJ34" s="2460"/>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459" t="s">
        <v>430</v>
      </c>
      <c r="T35" s="2459"/>
      <c r="U35" s="1299"/>
      <c r="V35" s="2461" t="str">
        <f>IF(TITLE_NUMBER_PR_CHANGE="",IF(TITLE_NUMBER_PR="","",TITLE_NUMBER_PR),TITLE_NUMBER_PR_CHANGE)</f>
        <v>03.5-1382</v>
      </c>
      <c r="W35" s="2461"/>
      <c r="X35" s="2461"/>
      <c r="Y35" s="2461"/>
      <c r="Z35" s="2461"/>
      <c r="AA35" s="2461"/>
      <c r="AB35" s="2461"/>
      <c r="AC35" s="264"/>
      <c r="AD35" s="2461" t="str">
        <f>IF(TITLE_NUMBER_PR_CHANGE="",IF(TITLE_NUMBER_PR="","",TITLE_NUMBER_PR),TITLE_NUMBER_PR_CHANGE)</f>
        <v>03.5-1382</v>
      </c>
      <c r="AE35" s="2461"/>
      <c r="AF35" s="2461"/>
      <c r="AG35" s="2461"/>
      <c r="AH35" s="2461"/>
      <c r="AI35" s="2461"/>
      <c r="AJ35" s="2461"/>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431</v>
      </c>
      <c r="AD36" s="264"/>
      <c r="AE36" s="264"/>
      <c r="AF36" s="264"/>
      <c r="AG36" s="264"/>
      <c r="AH36" s="264"/>
      <c r="AI36" s="264"/>
      <c r="AJ36" s="264"/>
      <c r="AK36" s="216" t="s">
        <v>431</v>
      </c>
      <c r="AN36" s="305"/>
      <c r="AO36" s="305"/>
      <c r="AP36" s="305"/>
      <c r="AQ36" s="305"/>
      <c r="AR36" s="305"/>
      <c r="AS36" s="355">
        <v>0</v>
      </c>
    </row>
    <row r="37" spans="1:45" ht="14.65" customHeight="1">
      <c r="Q37" s="313"/>
      <c r="R37" s="313"/>
      <c r="S37" s="1202"/>
      <c r="T37" s="300"/>
      <c r="U37" s="1171"/>
      <c r="V37" s="2480"/>
      <c r="W37" s="2480"/>
      <c r="X37" s="2480"/>
      <c r="Y37" s="2480"/>
      <c r="Z37" s="2480"/>
      <c r="AA37" s="2480"/>
      <c r="AB37" s="2480"/>
      <c r="AC37" s="2480"/>
      <c r="AD37" s="2480"/>
      <c r="AE37" s="2480"/>
      <c r="AF37" s="2480"/>
      <c r="AG37" s="2480"/>
      <c r="AH37" s="2480"/>
      <c r="AI37" s="2480"/>
      <c r="AJ37" s="2480"/>
      <c r="AK37" s="2480"/>
      <c r="AS37" s="1082">
        <v>14</v>
      </c>
    </row>
    <row r="38" spans="1:45" ht="14.65" customHeight="1">
      <c r="Q38" s="313"/>
      <c r="R38" s="313"/>
      <c r="S38" s="2332" t="s">
        <v>307</v>
      </c>
      <c r="T38" s="2332"/>
      <c r="U38" s="2332"/>
      <c r="V38" s="2332"/>
      <c r="W38" s="2332"/>
      <c r="X38" s="2332"/>
      <c r="Y38" s="2332"/>
      <c r="Z38" s="2332"/>
      <c r="AA38" s="2332"/>
      <c r="AB38" s="2332"/>
      <c r="AC38" s="2332"/>
      <c r="AD38" s="2332"/>
      <c r="AE38" s="2332"/>
      <c r="AF38" s="2332"/>
      <c r="AG38" s="2332"/>
      <c r="AH38" s="2332"/>
      <c r="AI38" s="2332"/>
      <c r="AJ38" s="2332"/>
      <c r="AK38" s="2332"/>
      <c r="AL38" s="2332"/>
      <c r="AM38" s="2332" t="s">
        <v>308</v>
      </c>
      <c r="AS38" s="1082">
        <v>14</v>
      </c>
    </row>
    <row r="39" spans="1:45" ht="14.65" customHeight="1">
      <c r="Q39" s="313"/>
      <c r="R39" s="313"/>
      <c r="S39" s="2481" t="s">
        <v>89</v>
      </c>
      <c r="T39" s="2429" t="s">
        <v>432</v>
      </c>
      <c r="U39" s="239"/>
      <c r="V39" s="2482" t="s">
        <v>433</v>
      </c>
      <c r="W39" s="2483"/>
      <c r="X39" s="2483"/>
      <c r="Y39" s="2483"/>
      <c r="Z39" s="2483"/>
      <c r="AA39" s="2483"/>
      <c r="AB39" s="2484"/>
      <c r="AC39" s="2485" t="s">
        <v>434</v>
      </c>
      <c r="AD39" s="2482" t="s">
        <v>433</v>
      </c>
      <c r="AE39" s="2483"/>
      <c r="AF39" s="2483"/>
      <c r="AG39" s="2483"/>
      <c r="AH39" s="2483"/>
      <c r="AI39" s="2483"/>
      <c r="AJ39" s="2484"/>
      <c r="AK39" s="2485" t="s">
        <v>435</v>
      </c>
      <c r="AL39" s="2488" t="s">
        <v>436</v>
      </c>
      <c r="AM39" s="2332"/>
      <c r="AS39" s="1082">
        <v>14</v>
      </c>
    </row>
    <row r="40" spans="1:45" ht="35.65" customHeight="1">
      <c r="Q40" s="313"/>
      <c r="R40" s="313"/>
      <c r="S40" s="2481"/>
      <c r="T40" s="2429"/>
      <c r="U40" s="961"/>
      <c r="V40" s="2401" t="s">
        <v>437</v>
      </c>
      <c r="W40" s="2477" t="s">
        <v>438</v>
      </c>
      <c r="X40" s="2314" t="s">
        <v>439</v>
      </c>
      <c r="Y40" s="2313"/>
      <c r="Z40" s="2314" t="s">
        <v>440</v>
      </c>
      <c r="AA40" s="2319"/>
      <c r="AB40" s="2313"/>
      <c r="AC40" s="2486"/>
      <c r="AD40" s="2401" t="s">
        <v>437</v>
      </c>
      <c r="AE40" s="2477" t="s">
        <v>438</v>
      </c>
      <c r="AF40" s="2314" t="s">
        <v>439</v>
      </c>
      <c r="AG40" s="2313"/>
      <c r="AH40" s="2314" t="s">
        <v>440</v>
      </c>
      <c r="AI40" s="2319"/>
      <c r="AJ40" s="2313"/>
      <c r="AK40" s="2486"/>
      <c r="AL40" s="2489"/>
      <c r="AM40" s="2332"/>
      <c r="AS40" s="1082">
        <v>34</v>
      </c>
    </row>
    <row r="41" spans="1:45" ht="35.65" customHeight="1">
      <c r="A41" s="1297"/>
      <c r="B41" s="1297" t="s">
        <v>136</v>
      </c>
      <c r="C41" s="1297" t="s">
        <v>137</v>
      </c>
      <c r="D41" s="1297" t="s">
        <v>138</v>
      </c>
      <c r="E41" s="1291" t="s">
        <v>441</v>
      </c>
      <c r="F41" s="1291" t="s">
        <v>442</v>
      </c>
      <c r="G41" s="1291" t="s">
        <v>443</v>
      </c>
      <c r="H41" s="1291" t="s">
        <v>444</v>
      </c>
      <c r="I41" s="1291" t="s">
        <v>445</v>
      </c>
      <c r="J41" s="1291" t="s">
        <v>446</v>
      </c>
      <c r="K41" s="1291" t="s">
        <v>447</v>
      </c>
      <c r="L41" s="1291" t="s">
        <v>422</v>
      </c>
      <c r="Q41" s="313"/>
      <c r="R41" s="313"/>
      <c r="S41" s="2481"/>
      <c r="T41" s="2429"/>
      <c r="U41" s="240"/>
      <c r="V41" s="2454"/>
      <c r="W41" s="2478"/>
      <c r="X41" s="1149" t="s">
        <v>448</v>
      </c>
      <c r="Y41" s="1149" t="s">
        <v>449</v>
      </c>
      <c r="Z41" s="1148" t="s">
        <v>450</v>
      </c>
      <c r="AA41" s="2434" t="s">
        <v>451</v>
      </c>
      <c r="AB41" s="2448"/>
      <c r="AC41" s="2487"/>
      <c r="AD41" s="2454"/>
      <c r="AE41" s="2478"/>
      <c r="AF41" s="1149" t="s">
        <v>448</v>
      </c>
      <c r="AG41" s="1149" t="s">
        <v>449</v>
      </c>
      <c r="AH41" s="1240" t="s">
        <v>450</v>
      </c>
      <c r="AI41" s="2434" t="s">
        <v>451</v>
      </c>
      <c r="AJ41" s="2448"/>
      <c r="AK41" s="2487"/>
      <c r="AL41" s="2490"/>
      <c r="AM41" s="2332"/>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183">
        <f ca="1">OFFSET(V42,0,-1)+1</f>
        <v>3</v>
      </c>
      <c r="W42" s="1183"/>
      <c r="X42" s="1183">
        <f ca="1">OFFSET(X42,0,-1)+1</f>
        <v>1</v>
      </c>
      <c r="Y42" s="1183">
        <f ca="1">OFFSET(Y42,0,-1)+1</f>
        <v>2</v>
      </c>
      <c r="Z42" s="1183">
        <f ca="1">OFFSET(Z42,0,-1)+1</f>
        <v>3</v>
      </c>
      <c r="AA42" s="2479">
        <f ca="1">OFFSET(AA42,0,-1)+1</f>
        <v>4</v>
      </c>
      <c r="AB42" s="2479"/>
      <c r="AC42" s="1183">
        <f ca="1">OFFSET(AC42,0,-2)+1</f>
        <v>5</v>
      </c>
      <c r="AD42" s="1239">
        <f ca="1">OFFSET(AD42,0,-1)+1</f>
        <v>6</v>
      </c>
      <c r="AE42" s="1239"/>
      <c r="AF42" s="1239">
        <f ca="1">OFFSET(AF42,0,-1)+1</f>
        <v>1</v>
      </c>
      <c r="AG42" s="1239">
        <f ca="1">OFFSET(AG42,0,-1)+1</f>
        <v>2</v>
      </c>
      <c r="AH42" s="1239">
        <f ca="1">OFFSET(AH42,0,-1)+1</f>
        <v>3</v>
      </c>
      <c r="AI42" s="2479">
        <f ca="1">OFFSET(AI42,0,-1)+1</f>
        <v>4</v>
      </c>
      <c r="AJ42" s="2479"/>
      <c r="AK42" s="1239">
        <f ca="1">OFFSET(AK42,0,-2)+1</f>
        <v>5</v>
      </c>
      <c r="AL42" s="1172">
        <f ca="1">OFFSET(AL42,0,-1)</f>
        <v>5</v>
      </c>
      <c r="AM42" s="1183">
        <f ca="1">OFFSET(AM42,0,-1)+1</f>
        <v>6</v>
      </c>
      <c r="AN42" s="448"/>
      <c r="AO42" s="448"/>
      <c r="AP42" s="448"/>
      <c r="AQ42" s="448"/>
      <c r="AR42" s="448"/>
      <c r="AS42" s="433">
        <v>0</v>
      </c>
    </row>
    <row r="43" spans="1:45" ht="24" customHeight="1">
      <c r="A43" s="1290" t="s">
        <v>157</v>
      </c>
      <c r="B43" s="1290"/>
      <c r="C43" s="1290"/>
      <c r="D43" s="1290"/>
      <c r="E43" s="2468">
        <v>1</v>
      </c>
      <c r="F43" s="1290"/>
      <c r="G43" s="1290"/>
      <c r="H43" s="1290"/>
      <c r="I43" s="1290"/>
      <c r="J43" s="1290"/>
      <c r="K43" s="1290"/>
      <c r="L43" s="1291"/>
      <c r="M43" s="1292"/>
      <c r="N43" s="1292"/>
      <c r="O43" s="1292"/>
      <c r="P43" s="298"/>
      <c r="Q43" s="297"/>
      <c r="R43" s="292"/>
      <c r="S43" s="1151">
        <f>INDEX(PT_DIFFERENTIATION_NUM_NTAR,MATCH(A43,PT_DIFFERENTIATION_NTAR_ID,0))</f>
        <v>0</v>
      </c>
      <c r="T43" s="236" t="s">
        <v>124</v>
      </c>
      <c r="U43" s="238"/>
      <c r="V43" s="2462"/>
      <c r="W43" s="2463"/>
      <c r="X43" s="2463"/>
      <c r="Y43" s="2463"/>
      <c r="Z43" s="2463"/>
      <c r="AA43" s="2463"/>
      <c r="AB43" s="2463"/>
      <c r="AC43" s="2464"/>
      <c r="AD43" s="2462" t="str">
        <f>INDEX(PT_DIFFERENTIATION_NTAR,MATCH(A43,PT_DIFFERENTIATION_NTAR_ID,0))</f>
        <v/>
      </c>
      <c r="AE43" s="2463"/>
      <c r="AF43" s="2463"/>
      <c r="AG43" s="2463"/>
      <c r="AH43" s="2463"/>
      <c r="AI43" s="2463"/>
      <c r="AJ43" s="2463"/>
      <c r="AK43" s="2463"/>
      <c r="AL43" s="246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157</v>
      </c>
      <c r="B44" s="1290" t="s">
        <v>158</v>
      </c>
      <c r="C44" s="1290"/>
      <c r="D44" s="1290"/>
      <c r="E44" s="2469"/>
      <c r="F44" s="2468">
        <v>1</v>
      </c>
      <c r="G44" s="1290"/>
      <c r="H44" s="1290"/>
      <c r="I44" s="1290"/>
      <c r="J44" s="1290"/>
      <c r="K44" s="1290"/>
      <c r="L44" s="1291"/>
      <c r="M44" s="1292"/>
      <c r="N44" s="1292"/>
      <c r="O44" s="1292"/>
      <c r="P44" s="459"/>
      <c r="Q44" s="289"/>
      <c r="R44" s="290"/>
      <c r="S44" s="1151" t="str">
        <f>INDEX(PT_DIFFERENTIATION_NUM_TER,MATCH(B44,PT_DIFFERENTIATION_TER_ID,0))</f>
        <v>.</v>
      </c>
      <c r="T44" s="246" t="s">
        <v>404</v>
      </c>
      <c r="U44" s="238"/>
      <c r="V44" s="2462"/>
      <c r="W44" s="2463"/>
      <c r="X44" s="2463"/>
      <c r="Y44" s="2463"/>
      <c r="Z44" s="2463"/>
      <c r="AA44" s="2463"/>
      <c r="AB44" s="2463"/>
      <c r="AC44" s="2464"/>
      <c r="AD44" s="2462" t="str">
        <f>INDEX(PT_DIFFERENTIATION_TER,MATCH(B44,PT_DIFFERENTIATION_TER_ID,0))</f>
        <v/>
      </c>
      <c r="AE44" s="2463"/>
      <c r="AF44" s="2463"/>
      <c r="AG44" s="2463"/>
      <c r="AH44" s="2463"/>
      <c r="AI44" s="2463"/>
      <c r="AJ44" s="2463"/>
      <c r="AK44" s="2463"/>
      <c r="AL44" s="2464"/>
      <c r="AM44" s="1185" t="s">
        <v>405</v>
      </c>
      <c r="AO44" s="437"/>
      <c r="AP44" s="437" t="str">
        <f t="shared" si="1"/>
        <v>Территория действия тарифа</v>
      </c>
      <c r="AQ44" s="437"/>
      <c r="AR44" s="437"/>
      <c r="AS44" s="1082">
        <v>23</v>
      </c>
    </row>
    <row r="45" spans="1:45" ht="24" customHeight="1">
      <c r="A45" s="1290" t="s">
        <v>157</v>
      </c>
      <c r="B45" s="1290" t="s">
        <v>158</v>
      </c>
      <c r="C45" s="1290" t="s">
        <v>159</v>
      </c>
      <c r="D45" s="1290"/>
      <c r="E45" s="2469"/>
      <c r="F45" s="2469"/>
      <c r="G45" s="2468">
        <v>1</v>
      </c>
      <c r="H45" s="1290"/>
      <c r="I45" s="1290"/>
      <c r="J45" s="1290"/>
      <c r="K45" s="1290"/>
      <c r="L45" s="1291"/>
      <c r="M45" s="1292"/>
      <c r="N45" s="1292"/>
      <c r="O45" s="1292"/>
      <c r="P45" s="291"/>
      <c r="Q45" s="289"/>
      <c r="R45" s="290"/>
      <c r="S45" s="1151" t="str">
        <f>INDEX(PT_DIFFERENTIATION_NUM_CS,MATCH(C45,PT_DIFFERENTIATION_CS_ID,0))</f>
        <v>..</v>
      </c>
      <c r="T45" s="247" t="s">
        <v>406</v>
      </c>
      <c r="U45" s="238"/>
      <c r="V45" s="2462"/>
      <c r="W45" s="2463"/>
      <c r="X45" s="2463"/>
      <c r="Y45" s="2463"/>
      <c r="Z45" s="2463"/>
      <c r="AA45" s="2463"/>
      <c r="AB45" s="2463"/>
      <c r="AC45" s="2464"/>
      <c r="AD45" s="2462" t="str">
        <f>INDEX(PT_DIFFERENTIATION_CS,MATCH(C45,PT_DIFFERENTIATION_CS_ID,0))</f>
        <v/>
      </c>
      <c r="AE45" s="2463"/>
      <c r="AF45" s="2463"/>
      <c r="AG45" s="2463"/>
      <c r="AH45" s="2463"/>
      <c r="AI45" s="2463"/>
      <c r="AJ45" s="2463"/>
      <c r="AK45" s="2463"/>
      <c r="AL45" s="2464"/>
      <c r="AM45" s="1185" t="s">
        <v>407</v>
      </c>
      <c r="AO45" s="437"/>
      <c r="AP45" s="437" t="str">
        <f t="shared" si="1"/>
        <v xml:space="preserve">Наименование системы теплоснабжения </v>
      </c>
      <c r="AQ45" s="437"/>
      <c r="AR45" s="437"/>
      <c r="AS45" s="1082">
        <v>23</v>
      </c>
    </row>
    <row r="46" spans="1:45" ht="24" customHeight="1">
      <c r="A46" s="1290" t="s">
        <v>157</v>
      </c>
      <c r="B46" s="1290" t="s">
        <v>158</v>
      </c>
      <c r="C46" s="1290" t="s">
        <v>159</v>
      </c>
      <c r="D46" s="1290" t="s">
        <v>160</v>
      </c>
      <c r="E46" s="2469"/>
      <c r="F46" s="2469"/>
      <c r="G46" s="2469"/>
      <c r="H46" s="2468">
        <v>1</v>
      </c>
      <c r="I46" s="1290"/>
      <c r="J46" s="1290"/>
      <c r="K46" s="1290"/>
      <c r="L46" s="1291"/>
      <c r="M46" s="1292"/>
      <c r="N46" s="1292"/>
      <c r="O46" s="1292"/>
      <c r="P46" s="291"/>
      <c r="Q46" s="289"/>
      <c r="R46" s="290"/>
      <c r="S46" s="1151" t="str">
        <f>INDEX(PT_DIFFERENTIATION_NUM_IST_TE,MATCH(D46,PT_DIFFERENTIATION_IST_TE_ID,0))</f>
        <v>...</v>
      </c>
      <c r="T46" s="248" t="s">
        <v>408</v>
      </c>
      <c r="U46" s="238"/>
      <c r="V46" s="2462"/>
      <c r="W46" s="2463"/>
      <c r="X46" s="2463"/>
      <c r="Y46" s="2463"/>
      <c r="Z46" s="2463"/>
      <c r="AA46" s="2463"/>
      <c r="AB46" s="2463"/>
      <c r="AC46" s="2464"/>
      <c r="AD46" s="2462" t="str">
        <f>INDEX(PT_DIFFERENTIATION_IST_TE,MATCH(D46,PT_DIFFERENTIATION_IST_TE_ID,0))</f>
        <v/>
      </c>
      <c r="AE46" s="2463"/>
      <c r="AF46" s="2463"/>
      <c r="AG46" s="2463"/>
      <c r="AH46" s="2463"/>
      <c r="AI46" s="2463"/>
      <c r="AJ46" s="2463"/>
      <c r="AK46" s="2463"/>
      <c r="AL46" s="2464"/>
      <c r="AM46" s="1185" t="s">
        <v>409</v>
      </c>
      <c r="AO46" s="437"/>
      <c r="AP46" s="437" t="str">
        <f t="shared" si="1"/>
        <v xml:space="preserve">Источник тепловой энергии  </v>
      </c>
      <c r="AQ46" s="437"/>
      <c r="AR46" s="437"/>
      <c r="AS46" s="1082">
        <v>23</v>
      </c>
    </row>
    <row r="47" spans="1:45" ht="49.5" customHeight="1">
      <c r="A47" s="1290" t="s">
        <v>157</v>
      </c>
      <c r="B47" s="1290" t="s">
        <v>158</v>
      </c>
      <c r="C47" s="1290" t="s">
        <v>159</v>
      </c>
      <c r="D47" s="1290" t="s">
        <v>160</v>
      </c>
      <c r="E47" s="2469"/>
      <c r="F47" s="2469"/>
      <c r="G47" s="2469"/>
      <c r="H47" s="2469"/>
      <c r="I47" s="2470" t="str">
        <f>S46&amp;".1"</f>
        <v>....1</v>
      </c>
      <c r="J47" s="1290"/>
      <c r="K47" s="1290"/>
      <c r="L47" s="1291" t="s">
        <v>410</v>
      </c>
      <c r="P47" s="2472">
        <v>1</v>
      </c>
      <c r="Q47" s="1147"/>
      <c r="R47" s="293"/>
      <c r="S47" s="1151" t="str">
        <f>$I47</f>
        <v>....1</v>
      </c>
      <c r="T47" s="223" t="s">
        <v>411</v>
      </c>
      <c r="U47" s="238"/>
      <c r="V47" s="2456"/>
      <c r="W47" s="2457"/>
      <c r="X47" s="2457"/>
      <c r="Y47" s="2457"/>
      <c r="Z47" s="2457"/>
      <c r="AA47" s="2457"/>
      <c r="AB47" s="2457"/>
      <c r="AC47" s="2458"/>
      <c r="AD47" s="2456"/>
      <c r="AE47" s="2457"/>
      <c r="AF47" s="2457"/>
      <c r="AG47" s="2457"/>
      <c r="AH47" s="2457"/>
      <c r="AI47" s="2457"/>
      <c r="AJ47" s="2457"/>
      <c r="AK47" s="2457"/>
      <c r="AL47" s="2458"/>
      <c r="AM47" s="1185" t="s">
        <v>412</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157</v>
      </c>
      <c r="B48" s="1290" t="s">
        <v>158</v>
      </c>
      <c r="C48" s="1290" t="s">
        <v>159</v>
      </c>
      <c r="D48" s="1290" t="s">
        <v>160</v>
      </c>
      <c r="E48" s="2469"/>
      <c r="F48" s="2469"/>
      <c r="G48" s="2469"/>
      <c r="H48" s="2469"/>
      <c r="I48" s="2471"/>
      <c r="J48" s="2470" t="str">
        <f>I47&amp;".1"</f>
        <v>....1.1</v>
      </c>
      <c r="K48" s="1290"/>
      <c r="L48" s="1291" t="s">
        <v>413</v>
      </c>
      <c r="P48" s="2472"/>
      <c r="Q48" s="2472">
        <v>1</v>
      </c>
      <c r="R48" s="294"/>
      <c r="S48" s="1151" t="str">
        <f>$J48</f>
        <v>....1.1</v>
      </c>
      <c r="T48" s="224" t="s">
        <v>414</v>
      </c>
      <c r="U48" s="238"/>
      <c r="V48" s="2456"/>
      <c r="W48" s="2457"/>
      <c r="X48" s="2457"/>
      <c r="Y48" s="2457"/>
      <c r="Z48" s="2457"/>
      <c r="AA48" s="2457"/>
      <c r="AB48" s="2457"/>
      <c r="AC48" s="2458"/>
      <c r="AD48" s="2456"/>
      <c r="AE48" s="2457"/>
      <c r="AF48" s="2457"/>
      <c r="AG48" s="2457"/>
      <c r="AH48" s="2457"/>
      <c r="AI48" s="2457"/>
      <c r="AJ48" s="2457"/>
      <c r="AK48" s="2457"/>
      <c r="AL48" s="2458"/>
      <c r="AM48" s="1185" t="s">
        <v>415</v>
      </c>
      <c r="AO48" s="437"/>
      <c r="AP48" s="437" t="str">
        <f t="shared" si="1"/>
        <v>Группа потребителей</v>
      </c>
      <c r="AQ48" s="437"/>
      <c r="AR48" s="437"/>
      <c r="AS48" s="1082">
        <v>23</v>
      </c>
    </row>
    <row r="49" spans="1:45" ht="24" customHeight="1">
      <c r="A49" s="1290" t="s">
        <v>157</v>
      </c>
      <c r="B49" s="1290" t="s">
        <v>158</v>
      </c>
      <c r="C49" s="1290" t="s">
        <v>159</v>
      </c>
      <c r="D49" s="1290" t="s">
        <v>160</v>
      </c>
      <c r="E49" s="2469"/>
      <c r="F49" s="2469"/>
      <c r="G49" s="2469"/>
      <c r="H49" s="2469"/>
      <c r="I49" s="2471"/>
      <c r="J49" s="2471"/>
      <c r="K49" s="2470" t="str">
        <f>J48&amp;".1"</f>
        <v>....1.1.1</v>
      </c>
      <c r="L49" s="1291" t="s">
        <v>416</v>
      </c>
      <c r="P49" s="2472"/>
      <c r="Q49" s="2472"/>
      <c r="R49" s="294">
        <v>1</v>
      </c>
      <c r="S49" s="1151" t="str">
        <f>$K49</f>
        <v>....1.1.1</v>
      </c>
      <c r="T49" s="1274"/>
      <c r="U49" s="238"/>
      <c r="V49" s="688"/>
      <c r="W49" s="263"/>
      <c r="X49" s="688"/>
      <c r="Y49" s="1184"/>
      <c r="Z49" s="2473"/>
      <c r="AA49" s="2342" t="s">
        <v>67</v>
      </c>
      <c r="AB49" s="2473"/>
      <c r="AC49" s="2342" t="s">
        <v>67</v>
      </c>
      <c r="AD49" s="688"/>
      <c r="AE49" s="263"/>
      <c r="AF49" s="688"/>
      <c r="AG49" s="1184"/>
      <c r="AH49" s="2473"/>
      <c r="AI49" s="2342" t="s">
        <v>67</v>
      </c>
      <c r="AJ49" s="2475"/>
      <c r="AK49" s="2342" t="s">
        <v>67</v>
      </c>
      <c r="AL49" s="1275"/>
      <c r="AM49" s="2491" t="s">
        <v>417</v>
      </c>
      <c r="AN49" s="448" t="e">
        <f ca="1">STRCHECKDATE(V50:AL50)</f>
        <v>#NAME?</v>
      </c>
      <c r="AO49" s="437"/>
      <c r="AP49" s="437" t="str">
        <f t="shared" si="1"/>
        <v/>
      </c>
      <c r="AQ49" s="437"/>
      <c r="AR49" s="437"/>
      <c r="AS49" s="1082">
        <v>23</v>
      </c>
    </row>
    <row r="50" spans="1:45" ht="1.1499999999999999" customHeight="1">
      <c r="A50" s="1290" t="s">
        <v>157</v>
      </c>
      <c r="B50" s="1290" t="s">
        <v>158</v>
      </c>
      <c r="C50" s="1290" t="s">
        <v>159</v>
      </c>
      <c r="D50" s="1290" t="s">
        <v>160</v>
      </c>
      <c r="E50" s="2469"/>
      <c r="F50" s="2469"/>
      <c r="G50" s="2469"/>
      <c r="H50" s="2469"/>
      <c r="I50" s="2471"/>
      <c r="J50" s="2471"/>
      <c r="K50" s="2470"/>
      <c r="L50" s="1291"/>
      <c r="P50" s="2472"/>
      <c r="Q50" s="2472"/>
      <c r="R50" s="294"/>
      <c r="S50" s="1150"/>
      <c r="T50" s="238"/>
      <c r="U50" s="238"/>
      <c r="V50" s="263"/>
      <c r="W50" s="263"/>
      <c r="X50" s="263"/>
      <c r="Y50" s="266" t="str">
        <f>Z49&amp;"-"&amp;AB49</f>
        <v>-</v>
      </c>
      <c r="Z50" s="2474"/>
      <c r="AA50" s="2342"/>
      <c r="AB50" s="2474"/>
      <c r="AC50" s="2342"/>
      <c r="AD50" s="263"/>
      <c r="AE50" s="263"/>
      <c r="AF50" s="263"/>
      <c r="AG50" s="266" t="str">
        <f>AH49&amp;"-"&amp;AJ49</f>
        <v>-</v>
      </c>
      <c r="AH50" s="2474"/>
      <c r="AI50" s="2342"/>
      <c r="AJ50" s="2476"/>
      <c r="AK50" s="2342"/>
      <c r="AL50" s="1276"/>
      <c r="AM50" s="2492"/>
      <c r="AO50" s="437"/>
      <c r="AP50" s="437" t="str">
        <f t="shared" si="1"/>
        <v/>
      </c>
      <c r="AQ50" s="437"/>
      <c r="AR50" s="437"/>
      <c r="AS50" s="1082">
        <v>1</v>
      </c>
    </row>
    <row r="51" spans="1:45" ht="11.45" customHeight="1">
      <c r="A51" s="1290" t="s">
        <v>157</v>
      </c>
      <c r="B51" s="1290" t="s">
        <v>158</v>
      </c>
      <c r="C51" s="1290" t="s">
        <v>159</v>
      </c>
      <c r="D51" s="1290" t="s">
        <v>160</v>
      </c>
      <c r="E51" s="2469"/>
      <c r="F51" s="2469"/>
      <c r="G51" s="2469"/>
      <c r="H51" s="2469"/>
      <c r="I51" s="2471"/>
      <c r="J51" s="2470"/>
      <c r="K51" s="1290"/>
      <c r="L51" s="1291"/>
      <c r="P51" s="2472"/>
      <c r="Q51" s="2472"/>
      <c r="R51" s="293"/>
      <c r="S51" s="1205"/>
      <c r="T51" s="226" t="s">
        <v>418</v>
      </c>
      <c r="U51" s="304"/>
      <c r="V51" s="304"/>
      <c r="W51" s="304"/>
      <c r="X51" s="304"/>
      <c r="Y51" s="304"/>
      <c r="Z51" s="304"/>
      <c r="AA51" s="304"/>
      <c r="AB51" s="304"/>
      <c r="AC51" s="304"/>
      <c r="AD51" s="304"/>
      <c r="AE51" s="304"/>
      <c r="AF51" s="304"/>
      <c r="AG51" s="304"/>
      <c r="AH51" s="304"/>
      <c r="AI51" s="304"/>
      <c r="AJ51" s="304"/>
      <c r="AK51" s="304"/>
      <c r="AL51" s="262"/>
      <c r="AM51" s="2493"/>
      <c r="AO51" s="437"/>
      <c r="AP51" s="437" t="str">
        <f t="shared" si="1"/>
        <v>Добавить вид теплоносителя (параметры теплоносителя)</v>
      </c>
      <c r="AQ51" s="437"/>
      <c r="AR51" s="437"/>
      <c r="AS51" s="1082">
        <v>11</v>
      </c>
    </row>
    <row r="52" spans="1:45" ht="11.45" customHeight="1">
      <c r="A52" s="1290" t="s">
        <v>157</v>
      </c>
      <c r="B52" s="1290" t="s">
        <v>158</v>
      </c>
      <c r="C52" s="1290" t="s">
        <v>159</v>
      </c>
      <c r="D52" s="1290" t="s">
        <v>160</v>
      </c>
      <c r="E52" s="2469"/>
      <c r="F52" s="2469"/>
      <c r="G52" s="2469"/>
      <c r="H52" s="2469"/>
      <c r="I52" s="2470"/>
      <c r="J52" s="1290"/>
      <c r="K52" s="1290"/>
      <c r="L52" s="1291"/>
      <c r="P52" s="2472"/>
      <c r="Q52" s="1147"/>
      <c r="R52" s="293"/>
      <c r="S52" s="1205"/>
      <c r="T52" s="225" t="s">
        <v>419</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157</v>
      </c>
      <c r="B53" s="1290" t="s">
        <v>158</v>
      </c>
      <c r="C53" s="1290" t="s">
        <v>159</v>
      </c>
      <c r="D53" s="1290" t="s">
        <v>160</v>
      </c>
      <c r="E53" s="2469"/>
      <c r="F53" s="2469"/>
      <c r="G53" s="2469"/>
      <c r="H53" s="2468"/>
      <c r="I53" s="1290"/>
      <c r="J53" s="1290"/>
      <c r="K53" s="1290"/>
      <c r="L53" s="1291"/>
      <c r="M53" s="1292"/>
      <c r="N53" s="1292"/>
      <c r="O53" s="474"/>
      <c r="P53" s="297"/>
      <c r="Q53" s="312"/>
      <c r="R53" s="292"/>
      <c r="S53" s="1205"/>
      <c r="T53" s="302" t="s">
        <v>420</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157</v>
      </c>
      <c r="B54" s="1270" t="s">
        <v>158</v>
      </c>
      <c r="C54" s="1270" t="s">
        <v>159</v>
      </c>
      <c r="D54" s="1241"/>
      <c r="E54" s="2469"/>
      <c r="F54" s="2469"/>
      <c r="G54" s="2468"/>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157</v>
      </c>
      <c r="B55" s="1270" t="s">
        <v>158</v>
      </c>
      <c r="C55" s="1241"/>
      <c r="D55" s="1241"/>
      <c r="E55" s="2469"/>
      <c r="F55" s="2468"/>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157</v>
      </c>
      <c r="B56" s="1270"/>
      <c r="C56" s="1270"/>
      <c r="D56" s="1270"/>
      <c r="E56" s="2468"/>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467"/>
      <c r="U59" s="2467"/>
      <c r="V59" s="2467"/>
      <c r="W59" s="2467"/>
      <c r="X59" s="2467"/>
      <c r="Y59" s="2467"/>
      <c r="Z59" s="2467"/>
      <c r="AA59" s="2467"/>
      <c r="AB59" s="2467"/>
      <c r="AC59" s="2467"/>
      <c r="AD59" s="2467"/>
      <c r="AE59" s="2467"/>
      <c r="AF59" s="2467"/>
      <c r="AG59" s="2467"/>
      <c r="AH59" s="2467"/>
      <c r="AI59" s="2467"/>
      <c r="AJ59" s="2467"/>
      <c r="AK59" s="2467"/>
      <c r="AL59" s="2467"/>
      <c r="AM59" s="2467"/>
      <c r="AS59" s="1082">
        <v>27</v>
      </c>
    </row>
    <row r="60" spans="1:45" ht="67.150000000000006" customHeight="1">
      <c r="O60" s="474"/>
      <c r="P60" s="1230"/>
      <c r="T60" s="2467"/>
      <c r="U60" s="2467"/>
      <c r="V60" s="2467"/>
      <c r="W60" s="2467"/>
      <c r="X60" s="2467"/>
      <c r="Y60" s="2467"/>
      <c r="Z60" s="2467"/>
      <c r="AA60" s="2467"/>
      <c r="AB60" s="2467"/>
      <c r="AC60" s="2467"/>
      <c r="AD60" s="2467"/>
      <c r="AE60" s="2467"/>
      <c r="AF60" s="2467"/>
      <c r="AG60" s="2467"/>
      <c r="AH60" s="2467"/>
      <c r="AI60" s="2467"/>
      <c r="AJ60" s="2467"/>
      <c r="AK60" s="2467"/>
      <c r="AL60" s="2467"/>
      <c r="AM60" s="2467"/>
      <c r="AS60" s="1082">
        <v>64</v>
      </c>
    </row>
    <row r="61" spans="1:45" ht="14.65" customHeight="1">
      <c r="O61" s="474"/>
      <c r="AS61" s="1082">
        <v>14</v>
      </c>
    </row>
    <row r="62" spans="1:45" ht="18.75" customHeight="1">
      <c r="O62" s="474"/>
      <c r="P62" s="1255"/>
      <c r="S62" s="1180"/>
      <c r="T62" s="2467"/>
      <c r="U62" s="2467"/>
      <c r="V62" s="2467"/>
      <c r="W62" s="2467"/>
      <c r="X62" s="2467"/>
      <c r="Y62" s="2467"/>
      <c r="Z62" s="2467"/>
      <c r="AA62" s="2467"/>
      <c r="AB62" s="2467"/>
      <c r="AC62" s="2467"/>
      <c r="AD62" s="2467"/>
      <c r="AE62" s="2467"/>
      <c r="AF62" s="2467"/>
      <c r="AG62" s="2467"/>
      <c r="AH62" s="2467"/>
      <c r="AI62" s="2467"/>
      <c r="AJ62" s="2467"/>
      <c r="AK62" s="2467"/>
      <c r="AL62" s="2467"/>
      <c r="AM62" s="2467"/>
      <c r="AS62" s="1082">
        <v>18</v>
      </c>
    </row>
    <row r="63" spans="1:45" ht="18.75" customHeight="1">
      <c r="O63" s="474"/>
      <c r="P63" s="1255"/>
      <c r="T63" s="2467"/>
      <c r="U63" s="2467"/>
      <c r="V63" s="2467"/>
      <c r="W63" s="2467"/>
      <c r="X63" s="2467"/>
      <c r="Y63" s="2467"/>
      <c r="Z63" s="2467"/>
      <c r="AA63" s="2467"/>
      <c r="AB63" s="2467"/>
      <c r="AC63" s="2467"/>
      <c r="AD63" s="2467"/>
      <c r="AE63" s="2467"/>
      <c r="AF63" s="2467"/>
      <c r="AG63" s="2467"/>
      <c r="AH63" s="2467"/>
      <c r="AI63" s="2467"/>
      <c r="AJ63" s="2467"/>
      <c r="AK63" s="2467"/>
      <c r="AL63" s="2467"/>
      <c r="AM63" s="2467"/>
      <c r="AS63" s="1082">
        <v>18</v>
      </c>
    </row>
    <row r="64" spans="1:45" ht="29.25" customHeight="1">
      <c r="O64" s="474"/>
      <c r="P64" s="1255"/>
      <c r="S64" s="1180"/>
      <c r="T64" s="2467"/>
      <c r="U64" s="2467"/>
      <c r="V64" s="2467"/>
      <c r="W64" s="2467"/>
      <c r="X64" s="2467"/>
      <c r="Y64" s="2467"/>
      <c r="Z64" s="2467"/>
      <c r="AA64" s="2467"/>
      <c r="AB64" s="2467"/>
      <c r="AC64" s="2467"/>
      <c r="AD64" s="2467"/>
      <c r="AE64" s="2467"/>
      <c r="AF64" s="2467"/>
      <c r="AG64" s="2467"/>
      <c r="AH64" s="2467"/>
      <c r="AI64" s="2467"/>
      <c r="AJ64" s="2467"/>
      <c r="AK64" s="2467"/>
      <c r="AL64" s="2467"/>
      <c r="AM64" s="2467"/>
      <c r="AS64" s="1082">
        <v>28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B8225-C65E-A5CC-0F18-0E67586D8569}">
  <sheetPr>
    <tabColor theme="6" tint="0.39997558519241921"/>
  </sheetPr>
  <dimension ref="A1:BA69"/>
  <sheetViews>
    <sheetView showGridLines="0" zoomScale="90" workbookViewId="0">
      <pane xSplit="29" ySplit="42" topLeftCell="AD46" activePane="bottomRight" state="frozen"/>
      <selection pane="topRight" activeCell="AD1" sqref="AD1"/>
      <selection pane="bottomLeft" activeCell="A43" sqref="A43"/>
      <selection pane="bottomRight" activeCell="AR55" sqref="AR55"/>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2" customWidth="1"/>
    <col min="19" max="19" width="12" style="2009"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customWidth="1"/>
    <col min="45" max="45" width="10.5703125" style="4" hidden="1"/>
    <col min="46" max="46" width="4" style="1562" customWidth="1"/>
    <col min="47" max="47" width="115" style="1562" customWidth="1"/>
    <col min="48" max="52" width="10" style="1569" customWidth="1"/>
    <col min="53" max="53" width="10.5703125" style="1562" hidden="1"/>
  </cols>
  <sheetData>
    <row r="1" spans="1:53" ht="22.5" hidden="1" customHeight="1">
      <c r="Y1" s="265"/>
      <c r="Z1" s="265"/>
      <c r="AG1" s="265"/>
      <c r="AH1" s="265"/>
      <c r="AL1" s="1562"/>
      <c r="AM1" s="1562"/>
      <c r="AN1" s="1562"/>
      <c r="AO1" s="1562"/>
      <c r="AP1" s="1562"/>
      <c r="AQ1" s="1562"/>
      <c r="AR1" s="1562"/>
      <c r="AS1" s="2273"/>
      <c r="BA1" s="1082" t="s">
        <v>14</v>
      </c>
    </row>
    <row r="2" spans="1:53" ht="21" hidden="1" customHeight="1">
      <c r="A2" s="1290"/>
      <c r="B2" s="1290"/>
      <c r="C2" s="1290"/>
      <c r="D2" s="1290"/>
      <c r="E2" s="2468">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462"/>
      <c r="W2" s="2463"/>
      <c r="X2" s="2463"/>
      <c r="Y2" s="2463"/>
      <c r="Z2" s="2463"/>
      <c r="AA2" s="2463"/>
      <c r="AB2" s="2463"/>
      <c r="AC2" s="2464"/>
      <c r="AD2" s="2462" t="e">
        <f>INDEX(PT_DIFFERENTIATION_NTAR,MATCH(A2,PT_DIFFERENTIATION_NTAR_ID,0))</f>
        <v>#N/A</v>
      </c>
      <c r="AE2" s="2463"/>
      <c r="AF2" s="2463"/>
      <c r="AG2" s="2463"/>
      <c r="AH2" s="2463"/>
      <c r="AI2" s="2463"/>
      <c r="AJ2" s="2463"/>
      <c r="AK2" s="2463"/>
      <c r="AL2" s="2462"/>
      <c r="AM2" s="2463"/>
      <c r="AN2" s="2463"/>
      <c r="AO2" s="2463"/>
      <c r="AP2" s="2463"/>
      <c r="AQ2" s="2463"/>
      <c r="AR2" s="2463"/>
      <c r="AS2" s="2496"/>
      <c r="AT2" s="2464"/>
      <c r="AU2" s="1185" t="s">
        <v>403</v>
      </c>
      <c r="AW2" s="437"/>
      <c r="AX2" s="437" t="str">
        <f t="shared" ref="AX2:AX15" si="0">IF(T2="","",T2)</f>
        <v>Наименование тарифа</v>
      </c>
      <c r="AY2" s="437"/>
      <c r="AZ2" s="437"/>
      <c r="BA2" s="1082">
        <v>0</v>
      </c>
    </row>
    <row r="3" spans="1:53" ht="21" hidden="1" customHeight="1">
      <c r="A3" s="1290"/>
      <c r="B3" s="1290"/>
      <c r="C3" s="1290"/>
      <c r="D3" s="1290"/>
      <c r="E3" s="2469"/>
      <c r="F3" s="2468">
        <v>1</v>
      </c>
      <c r="G3" s="1290"/>
      <c r="H3" s="1290"/>
      <c r="I3" s="1290"/>
      <c r="J3" s="1290"/>
      <c r="K3" s="1290"/>
      <c r="L3" s="1291"/>
      <c r="M3" s="1292"/>
      <c r="N3" s="1292"/>
      <c r="O3" s="1292"/>
      <c r="P3" s="1259"/>
      <c r="Q3" s="289"/>
      <c r="R3" s="290"/>
      <c r="S3" s="1263" t="e">
        <f>INDEX(PT_DIFFERENTIATION_NUM_TER,MATCH(B3,PT_DIFFERENTIATION_TER_ID,0))</f>
        <v>#N/A</v>
      </c>
      <c r="T3" s="246" t="s">
        <v>404</v>
      </c>
      <c r="U3" s="238"/>
      <c r="V3" s="2462"/>
      <c r="W3" s="2463"/>
      <c r="X3" s="2463"/>
      <c r="Y3" s="2463"/>
      <c r="Z3" s="2463"/>
      <c r="AA3" s="2463"/>
      <c r="AB3" s="2463"/>
      <c r="AC3" s="2464"/>
      <c r="AD3" s="2462" t="e">
        <f>INDEX(PT_DIFFERENTIATION_TER,MATCH(B3,PT_DIFFERENTIATION_TER_ID,0))</f>
        <v>#N/A</v>
      </c>
      <c r="AE3" s="2463"/>
      <c r="AF3" s="2463"/>
      <c r="AG3" s="2463"/>
      <c r="AH3" s="2463"/>
      <c r="AI3" s="2463"/>
      <c r="AJ3" s="2463"/>
      <c r="AK3" s="2463"/>
      <c r="AL3" s="2462"/>
      <c r="AM3" s="2463"/>
      <c r="AN3" s="2463"/>
      <c r="AO3" s="2463"/>
      <c r="AP3" s="2463"/>
      <c r="AQ3" s="2463"/>
      <c r="AR3" s="2463"/>
      <c r="AS3" s="2496"/>
      <c r="AT3" s="2464"/>
      <c r="AU3" s="1185" t="s">
        <v>405</v>
      </c>
      <c r="AW3" s="437"/>
      <c r="AX3" s="437" t="str">
        <f t="shared" si="0"/>
        <v>Территория действия тарифа</v>
      </c>
      <c r="AY3" s="437"/>
      <c r="AZ3" s="437"/>
      <c r="BA3" s="1082">
        <v>0</v>
      </c>
    </row>
    <row r="4" spans="1:53" ht="23.25" hidden="1" customHeight="1">
      <c r="A4" s="1290"/>
      <c r="B4" s="1290"/>
      <c r="C4" s="1290"/>
      <c r="D4" s="1290"/>
      <c r="E4" s="2469"/>
      <c r="F4" s="2469"/>
      <c r="G4" s="2468">
        <v>1</v>
      </c>
      <c r="H4" s="1290"/>
      <c r="I4" s="1290"/>
      <c r="J4" s="1290"/>
      <c r="K4" s="1290"/>
      <c r="L4" s="1291"/>
      <c r="M4" s="1292"/>
      <c r="N4" s="1292"/>
      <c r="O4" s="1292"/>
      <c r="P4" s="291"/>
      <c r="Q4" s="289"/>
      <c r="R4" s="290"/>
      <c r="S4" s="1263" t="e">
        <f>INDEX(PT_DIFFERENTIATION_NUM_CS,MATCH(C4,PT_DIFFERENTIATION_CS_ID,0))</f>
        <v>#N/A</v>
      </c>
      <c r="T4" s="247" t="s">
        <v>406</v>
      </c>
      <c r="U4" s="238"/>
      <c r="V4" s="2462"/>
      <c r="W4" s="2463"/>
      <c r="X4" s="2463"/>
      <c r="Y4" s="2463"/>
      <c r="Z4" s="2463"/>
      <c r="AA4" s="2463"/>
      <c r="AB4" s="2463"/>
      <c r="AC4" s="2464"/>
      <c r="AD4" s="2462" t="e">
        <f>INDEX(PT_DIFFERENTIATION_CS,MATCH(C4,PT_DIFFERENTIATION_CS_ID,0))</f>
        <v>#N/A</v>
      </c>
      <c r="AE4" s="2463"/>
      <c r="AF4" s="2463"/>
      <c r="AG4" s="2463"/>
      <c r="AH4" s="2463"/>
      <c r="AI4" s="2463"/>
      <c r="AJ4" s="2463"/>
      <c r="AK4" s="2463"/>
      <c r="AL4" s="2462"/>
      <c r="AM4" s="2463"/>
      <c r="AN4" s="2463"/>
      <c r="AO4" s="2463"/>
      <c r="AP4" s="2463"/>
      <c r="AQ4" s="2463"/>
      <c r="AR4" s="2463"/>
      <c r="AS4" s="2496"/>
      <c r="AT4" s="2464"/>
      <c r="AU4" s="1185" t="s">
        <v>407</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469"/>
      <c r="F5" s="2469"/>
      <c r="G5" s="2469"/>
      <c r="H5" s="2468">
        <v>1</v>
      </c>
      <c r="I5" s="1290"/>
      <c r="J5" s="1290"/>
      <c r="K5" s="1290"/>
      <c r="L5" s="1291"/>
      <c r="M5" s="1292"/>
      <c r="N5" s="1292"/>
      <c r="O5" s="1292"/>
      <c r="P5" s="291"/>
      <c r="Q5" s="289"/>
      <c r="R5" s="290"/>
      <c r="S5" s="1263" t="e">
        <f>INDEX(PT_DIFFERENTIATION_NUM_IST_TE,MATCH(D5,PT_DIFFERENTIATION_IST_TE_ID,0))</f>
        <v>#N/A</v>
      </c>
      <c r="T5" s="248" t="s">
        <v>408</v>
      </c>
      <c r="U5" s="238"/>
      <c r="V5" s="2462"/>
      <c r="W5" s="2463"/>
      <c r="X5" s="2463"/>
      <c r="Y5" s="2463"/>
      <c r="Z5" s="2463"/>
      <c r="AA5" s="2463"/>
      <c r="AB5" s="2463"/>
      <c r="AC5" s="2464"/>
      <c r="AD5" s="2462" t="e">
        <f>INDEX(PT_DIFFERENTIATION_IST_TE,MATCH(D5,PT_DIFFERENTIATION_IST_TE_ID,0))</f>
        <v>#N/A</v>
      </c>
      <c r="AE5" s="2463"/>
      <c r="AF5" s="2463"/>
      <c r="AG5" s="2463"/>
      <c r="AH5" s="2463"/>
      <c r="AI5" s="2463"/>
      <c r="AJ5" s="2463"/>
      <c r="AK5" s="2463"/>
      <c r="AL5" s="2462"/>
      <c r="AM5" s="2463"/>
      <c r="AN5" s="2463"/>
      <c r="AO5" s="2463"/>
      <c r="AP5" s="2463"/>
      <c r="AQ5" s="2463"/>
      <c r="AR5" s="2463"/>
      <c r="AS5" s="2496"/>
      <c r="AT5" s="2464"/>
      <c r="AU5" s="1185" t="s">
        <v>409</v>
      </c>
      <c r="AW5" s="437"/>
      <c r="AX5" s="437" t="str">
        <f t="shared" si="0"/>
        <v xml:space="preserve">Источник тепловой энергии  </v>
      </c>
      <c r="AY5" s="437"/>
      <c r="AZ5" s="437"/>
      <c r="BA5" s="1082">
        <v>0</v>
      </c>
    </row>
    <row r="6" spans="1:53" ht="47.25" hidden="1" customHeight="1">
      <c r="A6" s="1290"/>
      <c r="B6" s="1290"/>
      <c r="C6" s="1290"/>
      <c r="D6" s="1290"/>
      <c r="E6" s="2469"/>
      <c r="F6" s="2469"/>
      <c r="G6" s="2469"/>
      <c r="H6" s="2469"/>
      <c r="I6" s="2470" t="e">
        <f>S5&amp;".1"</f>
        <v>#N/A</v>
      </c>
      <c r="J6" s="1290"/>
      <c r="K6" s="1290"/>
      <c r="L6" s="1291" t="s">
        <v>410</v>
      </c>
      <c r="M6" s="474"/>
      <c r="P6" s="2472">
        <v>1</v>
      </c>
      <c r="Q6" s="1258"/>
      <c r="R6" s="293"/>
      <c r="S6" s="1263" t="e">
        <f>$I6</f>
        <v>#N/A</v>
      </c>
      <c r="T6" s="223" t="s">
        <v>411</v>
      </c>
      <c r="U6" s="238"/>
      <c r="V6" s="2456"/>
      <c r="W6" s="2457"/>
      <c r="X6" s="2457"/>
      <c r="Y6" s="2457"/>
      <c r="Z6" s="2457"/>
      <c r="AA6" s="2457"/>
      <c r="AB6" s="2457"/>
      <c r="AC6" s="2458"/>
      <c r="AD6" s="2456"/>
      <c r="AE6" s="2457"/>
      <c r="AF6" s="2457"/>
      <c r="AG6" s="2457"/>
      <c r="AH6" s="2457"/>
      <c r="AI6" s="2457"/>
      <c r="AJ6" s="2457"/>
      <c r="AK6" s="2457"/>
      <c r="AL6" s="2456"/>
      <c r="AM6" s="2457"/>
      <c r="AN6" s="2457"/>
      <c r="AO6" s="2457"/>
      <c r="AP6" s="2457"/>
      <c r="AQ6" s="2457"/>
      <c r="AR6" s="2457"/>
      <c r="AS6" s="2495"/>
      <c r="AT6" s="2458"/>
      <c r="AU6" s="1185" t="s">
        <v>412</v>
      </c>
      <c r="AW6" s="437"/>
      <c r="AX6" s="437" t="str">
        <f t="shared" si="0"/>
        <v>Схема подключения теплопотребляющей установки к коллектору источника тепловой энергии</v>
      </c>
      <c r="AY6" s="437"/>
      <c r="AZ6" s="437"/>
      <c r="BA6" s="1082">
        <v>0</v>
      </c>
    </row>
    <row r="7" spans="1:53" ht="21" hidden="1" customHeight="1">
      <c r="A7" s="1290"/>
      <c r="B7" s="1290"/>
      <c r="C7" s="1290"/>
      <c r="D7" s="1290"/>
      <c r="E7" s="2469"/>
      <c r="F7" s="2469"/>
      <c r="G7" s="2469"/>
      <c r="H7" s="2469"/>
      <c r="I7" s="2471"/>
      <c r="J7" s="2470" t="e">
        <f>I6&amp;".1"</f>
        <v>#N/A</v>
      </c>
      <c r="K7" s="1290"/>
      <c r="L7" s="1291" t="s">
        <v>413</v>
      </c>
      <c r="M7" s="474"/>
      <c r="N7" s="1293"/>
      <c r="P7" s="2472"/>
      <c r="Q7" s="2472">
        <v>1</v>
      </c>
      <c r="R7" s="294"/>
      <c r="S7" s="1263" t="e">
        <f>$J7</f>
        <v>#N/A</v>
      </c>
      <c r="T7" s="224" t="s">
        <v>414</v>
      </c>
      <c r="U7" s="238"/>
      <c r="V7" s="2456"/>
      <c r="W7" s="2457"/>
      <c r="X7" s="2457"/>
      <c r="Y7" s="2457"/>
      <c r="Z7" s="2457"/>
      <c r="AA7" s="2457"/>
      <c r="AB7" s="2457"/>
      <c r="AC7" s="2458"/>
      <c r="AD7" s="2456"/>
      <c r="AE7" s="2457"/>
      <c r="AF7" s="2457"/>
      <c r="AG7" s="2457"/>
      <c r="AH7" s="2457"/>
      <c r="AI7" s="2457"/>
      <c r="AJ7" s="2457"/>
      <c r="AK7" s="2457"/>
      <c r="AL7" s="2456"/>
      <c r="AM7" s="2457"/>
      <c r="AN7" s="2457"/>
      <c r="AO7" s="2457"/>
      <c r="AP7" s="2457"/>
      <c r="AQ7" s="2457"/>
      <c r="AR7" s="2457"/>
      <c r="AS7" s="2495"/>
      <c r="AT7" s="2458"/>
      <c r="AU7" s="1185" t="s">
        <v>415</v>
      </c>
      <c r="AW7" s="437"/>
      <c r="AX7" s="437" t="str">
        <f t="shared" si="0"/>
        <v>Группа потребителей</v>
      </c>
      <c r="AY7" s="437"/>
      <c r="AZ7" s="437"/>
      <c r="BA7" s="1082">
        <v>0</v>
      </c>
    </row>
    <row r="8" spans="1:53" ht="21" hidden="1" customHeight="1">
      <c r="A8" s="1290"/>
      <c r="B8" s="1290"/>
      <c r="C8" s="1290"/>
      <c r="D8" s="1290"/>
      <c r="E8" s="2469"/>
      <c r="F8" s="2469"/>
      <c r="G8" s="2469"/>
      <c r="H8" s="2469"/>
      <c r="I8" s="2471"/>
      <c r="J8" s="2471"/>
      <c r="K8" s="2470" t="e">
        <f>J7&amp;".1"</f>
        <v>#N/A</v>
      </c>
      <c r="L8" s="1291" t="s">
        <v>416</v>
      </c>
      <c r="M8" s="474"/>
      <c r="N8" s="1293"/>
      <c r="O8" s="1293"/>
      <c r="P8" s="2472"/>
      <c r="Q8" s="2472"/>
      <c r="R8" s="294">
        <v>1</v>
      </c>
      <c r="S8" s="1263" t="e">
        <f>$K8</f>
        <v>#N/A</v>
      </c>
      <c r="T8" s="1274"/>
      <c r="U8" s="238"/>
      <c r="V8" s="688"/>
      <c r="W8" s="263"/>
      <c r="X8" s="688"/>
      <c r="Y8" s="1184"/>
      <c r="Z8" s="2473"/>
      <c r="AA8" s="2342" t="s">
        <v>67</v>
      </c>
      <c r="AB8" s="2473"/>
      <c r="AC8" s="2342" t="s">
        <v>67</v>
      </c>
      <c r="AD8" s="688"/>
      <c r="AE8" s="263"/>
      <c r="AF8" s="688"/>
      <c r="AG8" s="1184"/>
      <c r="AH8" s="2473"/>
      <c r="AI8" s="2342" t="s">
        <v>67</v>
      </c>
      <c r="AJ8" s="2473"/>
      <c r="AK8" s="2342" t="s">
        <v>67</v>
      </c>
      <c r="AL8" s="688"/>
      <c r="AM8" s="263"/>
      <c r="AN8" s="688"/>
      <c r="AO8" s="1184"/>
      <c r="AP8" s="2473"/>
      <c r="AQ8" s="2342" t="s">
        <v>67</v>
      </c>
      <c r="AR8" s="2473"/>
      <c r="AS8" s="2498" t="s">
        <v>67</v>
      </c>
      <c r="AT8" s="263"/>
      <c r="AU8" s="2491" t="s">
        <v>417</v>
      </c>
      <c r="AV8" s="448" t="e">
        <f ca="1">STRCHECKDATE(V9:AT9)</f>
        <v>#NAME?</v>
      </c>
      <c r="AW8" s="437"/>
      <c r="AX8" s="437" t="str">
        <f t="shared" si="0"/>
        <v/>
      </c>
      <c r="AY8" s="437"/>
      <c r="AZ8" s="437"/>
      <c r="BA8" s="1082">
        <v>0</v>
      </c>
    </row>
    <row r="9" spans="1:53" ht="0.75" hidden="1" customHeight="1">
      <c r="A9" s="1290"/>
      <c r="B9" s="1290"/>
      <c r="C9" s="1290"/>
      <c r="D9" s="1290"/>
      <c r="E9" s="2469"/>
      <c r="F9" s="2469"/>
      <c r="G9" s="2469"/>
      <c r="H9" s="2469"/>
      <c r="I9" s="2471"/>
      <c r="J9" s="2471"/>
      <c r="K9" s="2470"/>
      <c r="L9" s="1291"/>
      <c r="M9" s="474"/>
      <c r="N9" s="1293"/>
      <c r="O9" s="1293"/>
      <c r="P9" s="2472"/>
      <c r="Q9" s="2472"/>
      <c r="R9" s="294"/>
      <c r="S9" s="1269"/>
      <c r="T9" s="238"/>
      <c r="U9" s="238"/>
      <c r="V9" s="263"/>
      <c r="W9" s="263"/>
      <c r="X9" s="263"/>
      <c r="Y9" s="266" t="str">
        <f>Z8&amp;"-"&amp;AB8</f>
        <v>-</v>
      </c>
      <c r="Z9" s="2474"/>
      <c r="AA9" s="2342"/>
      <c r="AB9" s="2474"/>
      <c r="AC9" s="2342"/>
      <c r="AD9" s="263"/>
      <c r="AE9" s="263"/>
      <c r="AF9" s="263"/>
      <c r="AG9" s="266" t="str">
        <f>AH8&amp;"-"&amp;AJ8</f>
        <v>-</v>
      </c>
      <c r="AH9" s="2474"/>
      <c r="AI9" s="2342"/>
      <c r="AJ9" s="2474"/>
      <c r="AK9" s="2342"/>
      <c r="AL9" s="263"/>
      <c r="AM9" s="263"/>
      <c r="AN9" s="263"/>
      <c r="AO9" s="266" t="str">
        <f>AP8&amp;"-"&amp;AR8</f>
        <v>-</v>
      </c>
      <c r="AP9" s="2474"/>
      <c r="AQ9" s="2342"/>
      <c r="AR9" s="2474"/>
      <c r="AS9" s="2342"/>
      <c r="AT9" s="263"/>
      <c r="AU9" s="2492"/>
      <c r="AW9" s="437"/>
      <c r="AX9" s="437" t="str">
        <f t="shared" si="0"/>
        <v/>
      </c>
      <c r="AY9" s="437"/>
      <c r="AZ9" s="437"/>
      <c r="BA9" s="1082">
        <v>0</v>
      </c>
    </row>
    <row r="10" spans="1:53" ht="15" hidden="1" customHeight="1">
      <c r="A10" s="1290"/>
      <c r="B10" s="1290"/>
      <c r="C10" s="1290"/>
      <c r="D10" s="1290"/>
      <c r="E10" s="2469"/>
      <c r="F10" s="2469"/>
      <c r="G10" s="2469"/>
      <c r="H10" s="2469"/>
      <c r="I10" s="2471"/>
      <c r="J10" s="2470"/>
      <c r="K10" s="1290"/>
      <c r="L10" s="1291"/>
      <c r="M10" s="474"/>
      <c r="N10" s="1293"/>
      <c r="P10" s="2472"/>
      <c r="Q10" s="2472"/>
      <c r="R10" s="293"/>
      <c r="S10" s="1205"/>
      <c r="T10" s="226" t="s">
        <v>418</v>
      </c>
      <c r="U10" s="304"/>
      <c r="V10" s="304"/>
      <c r="W10" s="304"/>
      <c r="X10" s="304"/>
      <c r="Y10" s="304"/>
      <c r="Z10" s="304"/>
      <c r="AA10" s="304"/>
      <c r="AB10" s="304"/>
      <c r="AC10" s="304"/>
      <c r="AD10" s="304"/>
      <c r="AE10" s="304"/>
      <c r="AF10" s="304"/>
      <c r="AG10" s="304"/>
      <c r="AH10" s="304"/>
      <c r="AI10" s="304"/>
      <c r="AJ10" s="304"/>
      <c r="AK10" s="304"/>
      <c r="AL10" s="2111"/>
      <c r="AM10" s="2112"/>
      <c r="AN10" s="2113"/>
      <c r="AO10" s="2114"/>
      <c r="AP10" s="2115"/>
      <c r="AQ10" s="2116"/>
      <c r="AR10" s="2117"/>
      <c r="AS10" s="2274"/>
      <c r="AT10" s="262"/>
      <c r="AU10" s="2493"/>
      <c r="AW10" s="437"/>
      <c r="AX10" s="437" t="str">
        <f t="shared" si="0"/>
        <v>Добавить вид теплоносителя (параметры теплоносителя)</v>
      </c>
      <c r="AY10" s="437"/>
      <c r="AZ10" s="437"/>
      <c r="BA10" s="1082">
        <v>0</v>
      </c>
    </row>
    <row r="11" spans="1:53" ht="15" hidden="1" customHeight="1">
      <c r="A11" s="1290"/>
      <c r="B11" s="1290"/>
      <c r="C11" s="1290"/>
      <c r="D11" s="1290"/>
      <c r="E11" s="2469"/>
      <c r="F11" s="2469"/>
      <c r="G11" s="2469"/>
      <c r="H11" s="2469"/>
      <c r="I11" s="2470"/>
      <c r="J11" s="1290"/>
      <c r="K11" s="1290"/>
      <c r="L11" s="1291"/>
      <c r="M11" s="474"/>
      <c r="P11" s="2472"/>
      <c r="Q11" s="1258"/>
      <c r="R11" s="293"/>
      <c r="S11" s="1205"/>
      <c r="T11" s="225" t="s">
        <v>419</v>
      </c>
      <c r="U11" s="304"/>
      <c r="V11" s="304"/>
      <c r="W11" s="304"/>
      <c r="X11" s="304"/>
      <c r="Y11" s="304"/>
      <c r="Z11" s="304"/>
      <c r="AA11" s="304"/>
      <c r="AB11" s="304"/>
      <c r="AC11" s="303"/>
      <c r="AD11" s="304"/>
      <c r="AE11" s="304"/>
      <c r="AF11" s="304"/>
      <c r="AG11" s="304"/>
      <c r="AH11" s="304"/>
      <c r="AI11" s="304"/>
      <c r="AJ11" s="304"/>
      <c r="AK11" s="303"/>
      <c r="AL11" s="2118"/>
      <c r="AM11" s="2119"/>
      <c r="AN11" s="2120"/>
      <c r="AO11" s="2121"/>
      <c r="AP11" s="2122"/>
      <c r="AQ11" s="2123"/>
      <c r="AR11" s="2124"/>
      <c r="AS11" s="2275"/>
      <c r="AT11" s="304"/>
      <c r="AU11" s="241"/>
      <c r="AW11" s="437"/>
      <c r="AX11" s="437" t="str">
        <f t="shared" si="0"/>
        <v>Добавить группу потребителей</v>
      </c>
      <c r="AY11" s="437"/>
      <c r="AZ11" s="437"/>
      <c r="BA11" s="1082">
        <v>0</v>
      </c>
    </row>
    <row r="12" spans="1:53" ht="14.25" hidden="1" customHeight="1">
      <c r="A12" s="1290"/>
      <c r="B12" s="1290"/>
      <c r="C12" s="1290"/>
      <c r="D12" s="1290"/>
      <c r="E12" s="2469"/>
      <c r="F12" s="2469"/>
      <c r="G12" s="2469"/>
      <c r="H12" s="2468"/>
      <c r="I12" s="1290"/>
      <c r="J12" s="1290"/>
      <c r="K12" s="1290"/>
      <c r="L12" s="1291"/>
      <c r="M12" s="1292"/>
      <c r="N12" s="1292"/>
      <c r="O12" s="474"/>
      <c r="P12" s="297"/>
      <c r="Q12" s="312"/>
      <c r="R12" s="292"/>
      <c r="S12" s="1205"/>
      <c r="T12" s="302" t="s">
        <v>420</v>
      </c>
      <c r="U12" s="304"/>
      <c r="V12" s="304"/>
      <c r="W12" s="304"/>
      <c r="X12" s="304"/>
      <c r="Y12" s="304"/>
      <c r="Z12" s="304"/>
      <c r="AA12" s="304"/>
      <c r="AB12" s="304"/>
      <c r="AC12" s="303"/>
      <c r="AD12" s="304"/>
      <c r="AE12" s="304"/>
      <c r="AF12" s="304"/>
      <c r="AG12" s="304"/>
      <c r="AH12" s="304"/>
      <c r="AI12" s="304"/>
      <c r="AJ12" s="304"/>
      <c r="AK12" s="303"/>
      <c r="AL12" s="2125"/>
      <c r="AM12" s="2126"/>
      <c r="AN12" s="2127"/>
      <c r="AO12" s="2128"/>
      <c r="AP12" s="2129"/>
      <c r="AQ12" s="2130"/>
      <c r="AR12" s="2131"/>
      <c r="AS12" s="2276"/>
      <c r="AT12" s="304"/>
      <c r="AU12" s="241"/>
      <c r="AW12" s="437"/>
      <c r="AX12" s="437" t="str">
        <f t="shared" si="0"/>
        <v>Добавить схему подключения</v>
      </c>
      <c r="AY12" s="437"/>
      <c r="AZ12" s="437"/>
      <c r="BA12" s="1082">
        <v>0</v>
      </c>
    </row>
    <row r="13" spans="1:53" s="1569" customFormat="1" ht="0.75" hidden="1" customHeight="1">
      <c r="A13" s="1241"/>
      <c r="B13" s="1241"/>
      <c r="C13" s="1241"/>
      <c r="D13" s="1241"/>
      <c r="E13" s="2469"/>
      <c r="F13" s="2469"/>
      <c r="G13" s="2468"/>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2277"/>
      <c r="AT13" s="1247"/>
      <c r="AU13" s="1247"/>
      <c r="AW13" s="720"/>
      <c r="AX13" s="720" t="str">
        <f t="shared" si="0"/>
        <v>Добавить источник для дифференциации</v>
      </c>
      <c r="AY13" s="720"/>
      <c r="AZ13" s="720"/>
      <c r="BA13" s="455">
        <v>0</v>
      </c>
    </row>
    <row r="14" spans="1:53" s="1569" customFormat="1" ht="0.75" hidden="1" customHeight="1">
      <c r="A14" s="1241"/>
      <c r="B14" s="1241"/>
      <c r="C14" s="1241"/>
      <c r="D14" s="1241"/>
      <c r="E14" s="2469"/>
      <c r="F14" s="2468"/>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2278"/>
      <c r="AT14" s="1251"/>
      <c r="AU14" s="1251"/>
      <c r="AW14" s="720"/>
      <c r="AX14" s="720" t="str">
        <f t="shared" si="0"/>
        <v>Добавить централизованную систему для дифференциации</v>
      </c>
      <c r="AY14" s="720"/>
      <c r="AZ14" s="720"/>
      <c r="BA14" s="455">
        <v>0</v>
      </c>
    </row>
    <row r="15" spans="1:53" s="1569" customFormat="1" ht="0.75" hidden="1" customHeight="1">
      <c r="A15" s="1241"/>
      <c r="B15" s="1241"/>
      <c r="C15" s="1241"/>
      <c r="D15" s="1241"/>
      <c r="E15" s="2468"/>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2278"/>
      <c r="AT15" s="1251"/>
      <c r="AU15" s="1251"/>
      <c r="AW15" s="720"/>
      <c r="AX15" s="720" t="str">
        <f t="shared" si="0"/>
        <v>Добавить территорию для дифференциации</v>
      </c>
      <c r="AY15" s="720"/>
      <c r="AZ15" s="720"/>
      <c r="BA15" s="455">
        <v>0</v>
      </c>
    </row>
    <row r="16" spans="1:53" ht="14.25" hidden="1" customHeight="1">
      <c r="AC16" s="265"/>
      <c r="AK16" s="265"/>
      <c r="AL16" s="1562"/>
      <c r="AM16" s="1562"/>
      <c r="AN16" s="1562"/>
      <c r="AO16" s="1562"/>
      <c r="AP16" s="1562"/>
      <c r="AQ16" s="1562"/>
      <c r="AR16" s="1562"/>
      <c r="AS16" s="2273"/>
      <c r="BA16" s="1082">
        <v>0</v>
      </c>
    </row>
    <row r="17" spans="1:53" ht="14.25" hidden="1" customHeight="1">
      <c r="AD17" s="1287"/>
      <c r="AE17" s="1287"/>
      <c r="AF17" s="1287"/>
      <c r="AG17" s="1288"/>
      <c r="AH17" s="2466"/>
      <c r="AI17" s="2465" t="s">
        <v>67</v>
      </c>
      <c r="AJ17" s="2466"/>
      <c r="AK17" s="2465" t="s">
        <v>67</v>
      </c>
      <c r="AL17" s="1562"/>
      <c r="AM17" s="1562"/>
      <c r="AN17" s="1562"/>
      <c r="AO17" s="1562"/>
      <c r="AP17" s="1562"/>
      <c r="AQ17" s="1562"/>
      <c r="AR17" s="1562"/>
      <c r="AS17" s="2273"/>
      <c r="BA17" s="1082">
        <v>0</v>
      </c>
    </row>
    <row r="18" spans="1:53" ht="14.25" hidden="1" customHeight="1">
      <c r="AD18" s="1287"/>
      <c r="AE18" s="1287"/>
      <c r="AF18" s="1287"/>
      <c r="AG18" s="266" t="str">
        <f>AH17&amp;"-"&amp;AJ17</f>
        <v>-</v>
      </c>
      <c r="AH18" s="2465"/>
      <c r="AI18" s="2465"/>
      <c r="AJ18" s="2465"/>
      <c r="AK18" s="2465"/>
      <c r="AL18" s="1562"/>
      <c r="AM18" s="1562"/>
      <c r="AN18" s="1562"/>
      <c r="AO18" s="1562"/>
      <c r="AP18" s="1562"/>
      <c r="AQ18" s="1562"/>
      <c r="AR18" s="1562"/>
      <c r="AS18" s="2273"/>
      <c r="BA18" s="1082">
        <v>0</v>
      </c>
    </row>
    <row r="19" spans="1:53" ht="14.25" hidden="1" customHeight="1">
      <c r="AK19" s="265"/>
      <c r="AL19" s="1562"/>
      <c r="AM19" s="1562"/>
      <c r="AN19" s="1562"/>
      <c r="AO19" s="1562"/>
      <c r="AP19" s="1562"/>
      <c r="AQ19" s="1562"/>
      <c r="AR19" s="1562"/>
      <c r="AS19" s="2273"/>
      <c r="BA19" s="1082">
        <v>0</v>
      </c>
    </row>
    <row r="20" spans="1:53" s="1293" customFormat="1" ht="22.5" hidden="1" customHeight="1">
      <c r="L20" s="1256"/>
      <c r="M20" s="1289"/>
      <c r="N20" s="1289"/>
      <c r="O20" s="1294" t="s">
        <v>421</v>
      </c>
      <c r="P20" s="1289"/>
      <c r="Q20" s="1298"/>
      <c r="R20" s="1298"/>
      <c r="S20" s="666"/>
      <c r="Z20" s="1294"/>
      <c r="AB20" s="1294"/>
      <c r="AH20" s="1294"/>
      <c r="AJ20" s="1294"/>
      <c r="AP20" s="1294"/>
      <c r="AR20" s="1294"/>
      <c r="AS20" s="2279"/>
      <c r="AV20" s="448"/>
      <c r="AW20" s="448"/>
      <c r="AX20" s="448"/>
      <c r="AY20" s="448"/>
      <c r="AZ20" s="448"/>
      <c r="BA20" s="1087">
        <v>0</v>
      </c>
    </row>
    <row r="21" spans="1:53" s="1293" customFormat="1" ht="14.25" hidden="1" customHeight="1">
      <c r="L21" s="1256"/>
      <c r="M21" s="1289"/>
      <c r="N21" s="1289"/>
      <c r="O21" s="1289"/>
      <c r="P21" s="1289"/>
      <c r="Q21" s="1298"/>
      <c r="R21" s="1298"/>
      <c r="S21" s="666"/>
      <c r="AS21" s="2279"/>
      <c r="AV21" s="448"/>
      <c r="AW21" s="448"/>
      <c r="AX21" s="448"/>
      <c r="AY21" s="448"/>
      <c r="AZ21" s="448"/>
      <c r="BA21" s="1087">
        <v>0</v>
      </c>
    </row>
    <row r="22" spans="1:53" s="1293" customFormat="1" ht="14.25" hidden="1" customHeight="1">
      <c r="L22" s="1256"/>
      <c r="M22" s="1289"/>
      <c r="N22" s="1289"/>
      <c r="O22" s="1291" t="s">
        <v>422</v>
      </c>
      <c r="P22" s="1289"/>
      <c r="Q22" s="1298"/>
      <c r="R22" s="1298"/>
      <c r="S22" s="666"/>
      <c r="T22" s="1087" t="s">
        <v>423</v>
      </c>
      <c r="AA22" s="124" t="s">
        <v>424</v>
      </c>
      <c r="AC22" s="124" t="s">
        <v>425</v>
      </c>
      <c r="AD22" s="1087" t="s">
        <v>423</v>
      </c>
      <c r="AI22" s="124" t="s">
        <v>426</v>
      </c>
      <c r="AK22" s="124" t="s">
        <v>425</v>
      </c>
      <c r="AQ22" s="1297" t="s">
        <v>424</v>
      </c>
      <c r="AS22" s="2280" t="s">
        <v>425</v>
      </c>
      <c r="AV22" s="448"/>
      <c r="AW22" s="448"/>
      <c r="AX22" s="448"/>
      <c r="AY22" s="448"/>
      <c r="AZ22" s="448"/>
      <c r="BA22" s="1087">
        <v>0</v>
      </c>
    </row>
    <row r="23" spans="1:53" ht="14.25" hidden="1" customHeight="1">
      <c r="O23" s="1291"/>
      <c r="AL23" s="1562"/>
      <c r="AM23" s="1562"/>
      <c r="AN23" s="1562"/>
      <c r="AO23" s="1562"/>
      <c r="AP23" s="1562"/>
      <c r="AQ23" s="1562"/>
      <c r="AR23" s="1562"/>
      <c r="AS23" s="2273"/>
      <c r="BA23" s="1082">
        <v>0</v>
      </c>
    </row>
    <row r="24" spans="1:53" ht="14.25" hidden="1" customHeight="1">
      <c r="O24" s="1291"/>
      <c r="AL24" s="1562"/>
      <c r="AM24" s="1562"/>
      <c r="AN24" s="1562"/>
      <c r="AO24" s="1562"/>
      <c r="AP24" s="1562"/>
      <c r="AQ24" s="1562"/>
      <c r="AR24" s="1562"/>
      <c r="AS24" s="2273"/>
      <c r="BA24" s="1082">
        <v>0</v>
      </c>
    </row>
    <row r="25" spans="1:53"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L25" s="1562"/>
      <c r="AM25" s="1562"/>
      <c r="AN25" s="1562"/>
      <c r="AO25" s="1562"/>
      <c r="AP25" s="1562"/>
      <c r="AQ25" s="1562"/>
      <c r="AR25" s="1562"/>
      <c r="AS25" s="2273"/>
      <c r="BA25" s="1082">
        <v>14</v>
      </c>
    </row>
    <row r="26" spans="1:53" ht="14.65" customHeight="1">
      <c r="Q26" s="313"/>
      <c r="R26" s="313"/>
      <c r="S26" s="24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49"/>
      <c r="U26" s="2449"/>
      <c r="V26" s="2449"/>
      <c r="W26" s="2449"/>
      <c r="X26" s="2449"/>
      <c r="Y26" s="2449"/>
      <c r="Z26" s="2449"/>
      <c r="AA26" s="2449"/>
      <c r="AB26" s="2449"/>
      <c r="AC26" s="2449"/>
      <c r="AD26" s="2449"/>
      <c r="AE26" s="2449"/>
      <c r="AF26" s="2449"/>
      <c r="AG26" s="2449"/>
      <c r="AH26" s="2449"/>
      <c r="AI26" s="2449"/>
      <c r="AJ26" s="2449"/>
      <c r="AK26" s="1170"/>
      <c r="AL26" s="2003"/>
      <c r="AM26" s="2003"/>
      <c r="AN26" s="2003"/>
      <c r="AO26" s="2003"/>
      <c r="AP26" s="2003"/>
      <c r="AQ26" s="2003"/>
      <c r="AR26" s="2003"/>
      <c r="AS26" s="2281"/>
      <c r="BA26" s="1082">
        <v>14</v>
      </c>
    </row>
    <row r="27" spans="1:53" ht="14.65" customHeight="1">
      <c r="Q27" s="313"/>
      <c r="R27" s="313"/>
      <c r="S27" s="2421" t="str">
        <f>IF(org=0,"Не определено",org)</f>
        <v>МУП "Городские тепловые сети" МО  "город Курчатов"</v>
      </c>
      <c r="T27" s="2421"/>
      <c r="U27" s="2421"/>
      <c r="V27" s="2421"/>
      <c r="W27" s="2421"/>
      <c r="X27" s="2421"/>
      <c r="Y27" s="2421"/>
      <c r="Z27" s="2421"/>
      <c r="AA27" s="2421"/>
      <c r="AB27" s="2421"/>
      <c r="AC27" s="2421"/>
      <c r="AD27" s="2421"/>
      <c r="AE27" s="2421"/>
      <c r="AF27" s="2421"/>
      <c r="AG27" s="2421"/>
      <c r="AH27" s="2421"/>
      <c r="AI27" s="2421"/>
      <c r="AJ27" s="2421"/>
      <c r="AK27" s="1170"/>
      <c r="AL27" s="2004"/>
      <c r="AM27" s="2004"/>
      <c r="AN27" s="2004"/>
      <c r="AO27" s="2004"/>
      <c r="AP27" s="2004"/>
      <c r="AQ27" s="2004"/>
      <c r="AR27" s="2004"/>
      <c r="AS27" s="2282"/>
      <c r="BA27" s="1082">
        <v>14</v>
      </c>
    </row>
    <row r="28" spans="1:53"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283"/>
      <c r="AT28" s="446"/>
      <c r="BA28" s="1082">
        <v>0</v>
      </c>
    </row>
    <row r="29" spans="1:53" s="1778" customFormat="1" ht="25.5" hidden="1" customHeight="1">
      <c r="A29" s="1295"/>
      <c r="B29" s="1295"/>
      <c r="C29" s="1295"/>
      <c r="D29" s="1295"/>
      <c r="E29" s="1295"/>
      <c r="F29" s="1295"/>
      <c r="G29" s="1295"/>
      <c r="H29" s="1295"/>
      <c r="I29" s="1295"/>
      <c r="J29" s="1295"/>
      <c r="K29" s="1295"/>
      <c r="L29" s="1296"/>
      <c r="M29" s="1295"/>
      <c r="N29" s="1295"/>
      <c r="O29" s="1295"/>
      <c r="S29" s="2459" t="s">
        <v>42</v>
      </c>
      <c r="T29" s="2459"/>
      <c r="U29" s="1299"/>
      <c r="V29" s="2461" t="str">
        <f>IF(TITLE_NAME_OR_PR_CHANGE="",IF(TITLE_NAME_OR_PR="","",TITLE_NAME_OR_PR),TITLE_NAME_OR_PR_CHANGE)</f>
        <v/>
      </c>
      <c r="W29" s="2461"/>
      <c r="X29" s="2461"/>
      <c r="Y29" s="2461"/>
      <c r="Z29" s="2461"/>
      <c r="AA29" s="2461"/>
      <c r="AB29" s="2461"/>
      <c r="AC29" s="264"/>
      <c r="AD29" s="2461" t="str">
        <f>IF(TITLE_NAME_OR_PR_CHANGE="",IF(TITLE_NAME_OR_PR="","",TITLE_NAME_OR_PR),TITLE_NAME_OR_PR_CHANGE)</f>
        <v/>
      </c>
      <c r="AE29" s="2461"/>
      <c r="AF29" s="2461"/>
      <c r="AG29" s="2461"/>
      <c r="AH29" s="2461"/>
      <c r="AI29" s="2461"/>
      <c r="AJ29" s="2461"/>
      <c r="AK29" s="264"/>
      <c r="AL29" s="2461" t="str">
        <f>IF(TITLE_NAME_OR_PR_CHANGE="",IF(TITLE_NAME_OR_PR="","",TITLE_NAME_OR_PR),TITLE_NAME_OR_PR_CHANGE)</f>
        <v/>
      </c>
      <c r="AM29" s="2461"/>
      <c r="AN29" s="2461"/>
      <c r="AO29" s="2461"/>
      <c r="AP29" s="2461"/>
      <c r="AQ29" s="2461"/>
      <c r="AR29" s="2461"/>
      <c r="AS29" s="2273"/>
      <c r="AT29" s="264"/>
      <c r="AU29" s="218"/>
      <c r="AV29" s="305"/>
      <c r="AW29" s="305"/>
      <c r="AX29" s="305"/>
      <c r="AY29" s="305"/>
      <c r="AZ29" s="305"/>
      <c r="BA29" s="355">
        <v>0</v>
      </c>
    </row>
    <row r="30" spans="1:53" s="1778" customFormat="1" ht="18.75" hidden="1" customHeight="1">
      <c r="A30" s="1295"/>
      <c r="B30" s="1295"/>
      <c r="C30" s="1295"/>
      <c r="D30" s="1295"/>
      <c r="E30" s="1295"/>
      <c r="F30" s="1295"/>
      <c r="G30" s="1295"/>
      <c r="H30" s="1295"/>
      <c r="I30" s="1295"/>
      <c r="J30" s="1295"/>
      <c r="K30" s="1295"/>
      <c r="L30" s="1296"/>
      <c r="M30" s="1295"/>
      <c r="N30" s="1295"/>
      <c r="O30" s="1295"/>
      <c r="S30" s="2459" t="s">
        <v>427</v>
      </c>
      <c r="T30" s="2459"/>
      <c r="U30" s="1299"/>
      <c r="V30" s="2460">
        <f>IF(TITLE_DATE_PR_CHANGE="",IF(TITLE_DATE_PR="","",TITLE_DATE_PR),TITLE_DATE_PR_CHANGE)</f>
        <v>45775</v>
      </c>
      <c r="W30" s="2460"/>
      <c r="X30" s="2460"/>
      <c r="Y30" s="2460"/>
      <c r="Z30" s="2460"/>
      <c r="AA30" s="2460"/>
      <c r="AB30" s="2460"/>
      <c r="AC30" s="264"/>
      <c r="AD30" s="2460">
        <f>IF(TITLE_DATE_PR_CHANGE="",IF(TITLE_DATE_PR="","",TITLE_DATE_PR),TITLE_DATE_PR_CHANGE)</f>
        <v>45775</v>
      </c>
      <c r="AE30" s="2460"/>
      <c r="AF30" s="2460"/>
      <c r="AG30" s="2460"/>
      <c r="AH30" s="2460"/>
      <c r="AI30" s="2460"/>
      <c r="AJ30" s="2460"/>
      <c r="AK30" s="264"/>
      <c r="AL30" s="2460">
        <f>IF(TITLE_DATE_PR_CHANGE="",IF(TITLE_DATE_PR="","",TITLE_DATE_PR),TITLE_DATE_PR_CHANGE)</f>
        <v>45775</v>
      </c>
      <c r="AM30" s="2460"/>
      <c r="AN30" s="2460"/>
      <c r="AO30" s="2460"/>
      <c r="AP30" s="2460"/>
      <c r="AQ30" s="2460"/>
      <c r="AR30" s="2460"/>
      <c r="AS30" s="2273"/>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S31" s="2459" t="s">
        <v>428</v>
      </c>
      <c r="T31" s="2459"/>
      <c r="U31" s="1299"/>
      <c r="V31" s="2461" t="str">
        <f>IF(TITLE_NUMBER_PR_CHANGE="",IF(TITLE_NUMBER_PR="","",TITLE_NUMBER_PR),TITLE_NUMBER_PR_CHANGE)</f>
        <v>03.5-1382</v>
      </c>
      <c r="W31" s="2461"/>
      <c r="X31" s="2461"/>
      <c r="Y31" s="2461"/>
      <c r="Z31" s="2461"/>
      <c r="AA31" s="2461"/>
      <c r="AB31" s="2461"/>
      <c r="AC31" s="264"/>
      <c r="AD31" s="2461" t="str">
        <f>IF(TITLE_NUMBER_PR_CHANGE="",IF(TITLE_NUMBER_PR="","",TITLE_NUMBER_PR),TITLE_NUMBER_PR_CHANGE)</f>
        <v>03.5-1382</v>
      </c>
      <c r="AE31" s="2461"/>
      <c r="AF31" s="2461"/>
      <c r="AG31" s="2461"/>
      <c r="AH31" s="2461"/>
      <c r="AI31" s="2461"/>
      <c r="AJ31" s="2461"/>
      <c r="AK31" s="264"/>
      <c r="AL31" s="2461" t="str">
        <f>IF(TITLE_NUMBER_PR_CHANGE="",IF(TITLE_NUMBER_PR="","",TITLE_NUMBER_PR),TITLE_NUMBER_PR_CHANGE)</f>
        <v>03.5-1382</v>
      </c>
      <c r="AM31" s="2461"/>
      <c r="AN31" s="2461"/>
      <c r="AO31" s="2461"/>
      <c r="AP31" s="2461"/>
      <c r="AQ31" s="2461"/>
      <c r="AR31" s="2461"/>
      <c r="AS31" s="2273"/>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S32" s="2459" t="s">
        <v>43</v>
      </c>
      <c r="T32" s="2459"/>
      <c r="U32" s="1299"/>
      <c r="V32" s="2461" t="str">
        <f>IF(TITLE_IST_PUB_CHANGE="",IF(TITLE_IST_PUB="","",TITLE_IST_PUB),TITLE_IST_PUB_CHANGE)</f>
        <v/>
      </c>
      <c r="W32" s="2461"/>
      <c r="X32" s="2461"/>
      <c r="Y32" s="2461"/>
      <c r="Z32" s="2461"/>
      <c r="AA32" s="2461"/>
      <c r="AB32" s="2461"/>
      <c r="AC32" s="264"/>
      <c r="AD32" s="2461" t="str">
        <f>IF(TITLE_IST_PUB_CHANGE="",IF(TITLE_IST_PUB="","",TITLE_IST_PUB),TITLE_IST_PUB_CHANGE)</f>
        <v/>
      </c>
      <c r="AE32" s="2461"/>
      <c r="AF32" s="2461"/>
      <c r="AG32" s="2461"/>
      <c r="AH32" s="2461"/>
      <c r="AI32" s="2461"/>
      <c r="AJ32" s="2461"/>
      <c r="AK32" s="264"/>
      <c r="AL32" s="2461" t="str">
        <f>IF(TITLE_IST_PUB_CHANGE="",IF(TITLE_IST_PUB="","",TITLE_IST_PUB),TITLE_IST_PUB_CHANGE)</f>
        <v/>
      </c>
      <c r="AM32" s="2461"/>
      <c r="AN32" s="2461"/>
      <c r="AO32" s="2461"/>
      <c r="AP32" s="2461"/>
      <c r="AQ32" s="2461"/>
      <c r="AR32" s="2461"/>
      <c r="AS32" s="2273"/>
      <c r="AT32" s="264"/>
      <c r="AU32" s="218"/>
      <c r="AV32" s="305"/>
      <c r="AW32" s="305"/>
      <c r="AX32" s="305"/>
      <c r="AY32" s="305"/>
      <c r="AZ32" s="305"/>
      <c r="BA32" s="355">
        <v>0</v>
      </c>
    </row>
    <row r="33" spans="1:53"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283"/>
      <c r="AT33" s="446"/>
      <c r="BA33" s="1082">
        <v>0</v>
      </c>
    </row>
    <row r="34" spans="1:53" s="1778" customFormat="1" ht="18.75" customHeight="1">
      <c r="A34" s="1295"/>
      <c r="B34" s="1295"/>
      <c r="C34" s="1295"/>
      <c r="D34" s="1295"/>
      <c r="E34" s="1295"/>
      <c r="F34" s="1295"/>
      <c r="G34" s="1295"/>
      <c r="H34" s="1295"/>
      <c r="I34" s="1295"/>
      <c r="J34" s="1295"/>
      <c r="K34" s="1295"/>
      <c r="L34" s="1296"/>
      <c r="M34" s="1295"/>
      <c r="N34" s="1295"/>
      <c r="O34" s="1295"/>
      <c r="S34" s="2459" t="s">
        <v>429</v>
      </c>
      <c r="T34" s="2459"/>
      <c r="U34" s="1299"/>
      <c r="V34" s="2460">
        <f>IF(TITLE_DATE_PR_CHANGE="",IF(TITLE_DATE_PR="","",TITLE_DATE_PR),TITLE_DATE_PR_CHANGE)</f>
        <v>45775</v>
      </c>
      <c r="W34" s="2460"/>
      <c r="X34" s="2460"/>
      <c r="Y34" s="2460"/>
      <c r="Z34" s="2460"/>
      <c r="AA34" s="2460"/>
      <c r="AB34" s="2460"/>
      <c r="AC34" s="264"/>
      <c r="AD34" s="2460">
        <f>IF(TITLE_DATE_PR_CHANGE="",IF(TITLE_DATE_PR="","",TITLE_DATE_PR),TITLE_DATE_PR_CHANGE)</f>
        <v>45775</v>
      </c>
      <c r="AE34" s="2460"/>
      <c r="AF34" s="2460"/>
      <c r="AG34" s="2460"/>
      <c r="AH34" s="2460"/>
      <c r="AI34" s="2460"/>
      <c r="AJ34" s="2460"/>
      <c r="AK34" s="264"/>
      <c r="AL34" s="2460">
        <f>IF(TITLE_DATE_PR_CHANGE="",IF(TITLE_DATE_PR="","",TITLE_DATE_PR),TITLE_DATE_PR_CHANGE)</f>
        <v>45775</v>
      </c>
      <c r="AM34" s="2460"/>
      <c r="AN34" s="2460"/>
      <c r="AO34" s="2460"/>
      <c r="AP34" s="2460"/>
      <c r="AQ34" s="2460"/>
      <c r="AR34" s="2460"/>
      <c r="AS34" s="2273"/>
      <c r="AT34" s="264"/>
      <c r="AU34" s="218"/>
      <c r="AV34" s="305"/>
      <c r="AW34" s="305"/>
      <c r="AX34" s="305"/>
      <c r="AY34" s="305"/>
      <c r="AZ34" s="305"/>
      <c r="BA34" s="355">
        <v>0</v>
      </c>
    </row>
    <row r="35" spans="1:53" s="1778" customFormat="1" ht="18.75" customHeight="1">
      <c r="A35" s="1295"/>
      <c r="B35" s="1295"/>
      <c r="C35" s="1295"/>
      <c r="D35" s="1295"/>
      <c r="E35" s="1295"/>
      <c r="F35" s="1295"/>
      <c r="G35" s="1295"/>
      <c r="H35" s="1295"/>
      <c r="I35" s="1295"/>
      <c r="J35" s="1295"/>
      <c r="K35" s="1295"/>
      <c r="L35" s="1296"/>
      <c r="M35" s="1295"/>
      <c r="N35" s="1295"/>
      <c r="O35" s="1295"/>
      <c r="S35" s="2459" t="s">
        <v>430</v>
      </c>
      <c r="T35" s="2459"/>
      <c r="U35" s="1299"/>
      <c r="V35" s="2461" t="str">
        <f>IF(TITLE_NUMBER_PR_CHANGE="",IF(TITLE_NUMBER_PR="","",TITLE_NUMBER_PR),TITLE_NUMBER_PR_CHANGE)</f>
        <v>03.5-1382</v>
      </c>
      <c r="W35" s="2461"/>
      <c r="X35" s="2461"/>
      <c r="Y35" s="2461"/>
      <c r="Z35" s="2461"/>
      <c r="AA35" s="2461"/>
      <c r="AB35" s="2461"/>
      <c r="AC35" s="264"/>
      <c r="AD35" s="2461" t="str">
        <f>IF(TITLE_NUMBER_PR_CHANGE="",IF(TITLE_NUMBER_PR="","",TITLE_NUMBER_PR),TITLE_NUMBER_PR_CHANGE)</f>
        <v>03.5-1382</v>
      </c>
      <c r="AE35" s="2461"/>
      <c r="AF35" s="2461"/>
      <c r="AG35" s="2461"/>
      <c r="AH35" s="2461"/>
      <c r="AI35" s="2461"/>
      <c r="AJ35" s="2461"/>
      <c r="AK35" s="264"/>
      <c r="AL35" s="2461" t="str">
        <f>IF(TITLE_NUMBER_PR_CHANGE="",IF(TITLE_NUMBER_PR="","",TITLE_NUMBER_PR),TITLE_NUMBER_PR_CHANGE)</f>
        <v>03.5-1382</v>
      </c>
      <c r="AM35" s="2461"/>
      <c r="AN35" s="2461"/>
      <c r="AO35" s="2461"/>
      <c r="AP35" s="2461"/>
      <c r="AQ35" s="2461"/>
      <c r="AR35" s="2461"/>
      <c r="AS35" s="2273"/>
      <c r="AT35" s="264"/>
      <c r="AU35" s="218"/>
      <c r="AV35" s="305"/>
      <c r="AW35" s="305"/>
      <c r="AX35" s="305"/>
      <c r="AY35" s="305"/>
      <c r="AZ35" s="305"/>
      <c r="BA35" s="355">
        <v>0</v>
      </c>
    </row>
    <row r="36" spans="1:53"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431</v>
      </c>
      <c r="AD36" s="264"/>
      <c r="AE36" s="264"/>
      <c r="AF36" s="264"/>
      <c r="AG36" s="264"/>
      <c r="AH36" s="264"/>
      <c r="AI36" s="264"/>
      <c r="AJ36" s="264"/>
      <c r="AK36" s="216" t="s">
        <v>431</v>
      </c>
      <c r="AL36" s="1562"/>
      <c r="AM36" s="1562"/>
      <c r="AN36" s="1562"/>
      <c r="AO36" s="1562"/>
      <c r="AP36" s="1562"/>
      <c r="AQ36" s="1562"/>
      <c r="AR36" s="1562"/>
      <c r="AS36" s="2284" t="s">
        <v>431</v>
      </c>
      <c r="AV36" s="305"/>
      <c r="AW36" s="305"/>
      <c r="AX36" s="305"/>
      <c r="AY36" s="305"/>
      <c r="AZ36" s="305"/>
      <c r="BA36" s="355">
        <v>0</v>
      </c>
    </row>
    <row r="37" spans="1:53" ht="14.65" customHeight="1">
      <c r="Q37" s="313"/>
      <c r="R37" s="313"/>
      <c r="S37" s="1202"/>
      <c r="T37" s="300"/>
      <c r="U37" s="1171"/>
      <c r="V37" s="2480"/>
      <c r="W37" s="2480"/>
      <c r="X37" s="2480"/>
      <c r="Y37" s="2480"/>
      <c r="Z37" s="2480"/>
      <c r="AA37" s="2480"/>
      <c r="AB37" s="2480"/>
      <c r="AC37" s="2480"/>
      <c r="AD37" s="2480"/>
      <c r="AE37" s="2480"/>
      <c r="AF37" s="2480"/>
      <c r="AG37" s="2480"/>
      <c r="AH37" s="2480"/>
      <c r="AI37" s="2480"/>
      <c r="AJ37" s="2480"/>
      <c r="AK37" s="2480"/>
      <c r="AL37" s="2480" t="s">
        <v>452</v>
      </c>
      <c r="AM37" s="2480"/>
      <c r="AN37" s="2480"/>
      <c r="AO37" s="2480"/>
      <c r="AP37" s="2480"/>
      <c r="AQ37" s="2480"/>
      <c r="AR37" s="2480"/>
      <c r="AS37" s="2499"/>
      <c r="BA37" s="1082">
        <v>14</v>
      </c>
    </row>
    <row r="38" spans="1:53" ht="15" customHeight="1">
      <c r="Q38" s="313"/>
      <c r="R38" s="313"/>
      <c r="S38" s="2332" t="s">
        <v>307</v>
      </c>
      <c r="T38" s="2332"/>
      <c r="U38" s="2332"/>
      <c r="V38" s="2332"/>
      <c r="W38" s="2332"/>
      <c r="X38" s="2332"/>
      <c r="Y38" s="2332"/>
      <c r="Z38" s="2332"/>
      <c r="AA38" s="2332"/>
      <c r="AB38" s="2332"/>
      <c r="AC38" s="2332"/>
      <c r="AD38" s="2332"/>
      <c r="AE38" s="2332"/>
      <c r="AF38" s="2332"/>
      <c r="AG38" s="2332"/>
      <c r="AH38" s="2332"/>
      <c r="AI38" s="2332"/>
      <c r="AJ38" s="2332"/>
      <c r="AK38" s="2332"/>
      <c r="AL38" s="2332" t="s">
        <v>307</v>
      </c>
      <c r="AM38" s="2332"/>
      <c r="AN38" s="2332"/>
      <c r="AO38" s="2332"/>
      <c r="AP38" s="2332"/>
      <c r="AQ38" s="2332"/>
      <c r="AR38" s="2332"/>
      <c r="AS38" s="2497"/>
      <c r="AT38" s="2332"/>
      <c r="AU38" s="2332"/>
      <c r="BA38" s="1082"/>
    </row>
    <row r="39" spans="1:53" ht="14.65" customHeight="1">
      <c r="Q39" s="313"/>
      <c r="R39" s="313"/>
      <c r="S39" s="2481" t="s">
        <v>89</v>
      </c>
      <c r="T39" s="2429" t="s">
        <v>432</v>
      </c>
      <c r="U39" s="239"/>
      <c r="V39" s="2482" t="s">
        <v>433</v>
      </c>
      <c r="W39" s="2483"/>
      <c r="X39" s="2483"/>
      <c r="Y39" s="2483"/>
      <c r="Z39" s="2483"/>
      <c r="AA39" s="2483"/>
      <c r="AB39" s="2484"/>
      <c r="AC39" s="2485" t="s">
        <v>434</v>
      </c>
      <c r="AD39" s="2482" t="s">
        <v>433</v>
      </c>
      <c r="AE39" s="2483"/>
      <c r="AF39" s="2483"/>
      <c r="AG39" s="2483"/>
      <c r="AH39" s="2483"/>
      <c r="AI39" s="2483"/>
      <c r="AJ39" s="2484"/>
      <c r="AK39" s="2485" t="s">
        <v>435</v>
      </c>
      <c r="AL39" s="2482" t="s">
        <v>433</v>
      </c>
      <c r="AM39" s="2483"/>
      <c r="AN39" s="2483"/>
      <c r="AO39" s="2483"/>
      <c r="AP39" s="2483"/>
      <c r="AQ39" s="2483"/>
      <c r="AR39" s="2484"/>
      <c r="AS39" s="2500" t="s">
        <v>434</v>
      </c>
      <c r="AT39" s="2488" t="s">
        <v>436</v>
      </c>
      <c r="AU39" s="2332"/>
      <c r="BA39" s="1082">
        <v>14</v>
      </c>
    </row>
    <row r="40" spans="1:53" ht="35.65" customHeight="1">
      <c r="Q40" s="313"/>
      <c r="R40" s="313"/>
      <c r="S40" s="2481"/>
      <c r="T40" s="2429"/>
      <c r="U40" s="961"/>
      <c r="V40" s="2401" t="s">
        <v>437</v>
      </c>
      <c r="W40" s="2477" t="s">
        <v>438</v>
      </c>
      <c r="X40" s="2314" t="s">
        <v>439</v>
      </c>
      <c r="Y40" s="2313"/>
      <c r="Z40" s="2314" t="s">
        <v>453</v>
      </c>
      <c r="AA40" s="2319"/>
      <c r="AB40" s="2313"/>
      <c r="AC40" s="2486"/>
      <c r="AD40" s="2401" t="s">
        <v>437</v>
      </c>
      <c r="AE40" s="2477" t="s">
        <v>438</v>
      </c>
      <c r="AF40" s="2314" t="s">
        <v>439</v>
      </c>
      <c r="AG40" s="2313"/>
      <c r="AH40" s="2314" t="s">
        <v>440</v>
      </c>
      <c r="AI40" s="2319"/>
      <c r="AJ40" s="2313"/>
      <c r="AK40" s="2486"/>
      <c r="AL40" s="2401" t="s">
        <v>437</v>
      </c>
      <c r="AM40" s="2477" t="s">
        <v>438</v>
      </c>
      <c r="AN40" s="2314" t="s">
        <v>439</v>
      </c>
      <c r="AO40" s="2313"/>
      <c r="AP40" s="2314" t="s">
        <v>453</v>
      </c>
      <c r="AQ40" s="2319"/>
      <c r="AR40" s="2313"/>
      <c r="AS40" s="2501"/>
      <c r="AT40" s="2489"/>
      <c r="AU40" s="2332"/>
      <c r="BA40" s="1082">
        <v>34</v>
      </c>
    </row>
    <row r="41" spans="1:53" ht="35.65" customHeight="1">
      <c r="A41" s="1297"/>
      <c r="B41" s="1297" t="s">
        <v>136</v>
      </c>
      <c r="C41" s="1297" t="s">
        <v>137</v>
      </c>
      <c r="D41" s="1297" t="s">
        <v>138</v>
      </c>
      <c r="E41" s="1291" t="s">
        <v>441</v>
      </c>
      <c r="F41" s="1291" t="s">
        <v>442</v>
      </c>
      <c r="G41" s="1291" t="s">
        <v>443</v>
      </c>
      <c r="H41" s="1291" t="s">
        <v>444</v>
      </c>
      <c r="I41" s="1291" t="s">
        <v>445</v>
      </c>
      <c r="J41" s="1291" t="s">
        <v>446</v>
      </c>
      <c r="K41" s="1291" t="s">
        <v>447</v>
      </c>
      <c r="L41" s="1291" t="s">
        <v>422</v>
      </c>
      <c r="Q41" s="313"/>
      <c r="R41" s="313"/>
      <c r="S41" s="2481"/>
      <c r="T41" s="2429"/>
      <c r="U41" s="240"/>
      <c r="V41" s="2454"/>
      <c r="W41" s="2478"/>
      <c r="X41" s="1149" t="s">
        <v>448</v>
      </c>
      <c r="Y41" s="1149" t="s">
        <v>449</v>
      </c>
      <c r="Z41" s="1265" t="s">
        <v>450</v>
      </c>
      <c r="AA41" s="2434" t="s">
        <v>451</v>
      </c>
      <c r="AB41" s="2448"/>
      <c r="AC41" s="2487"/>
      <c r="AD41" s="2454"/>
      <c r="AE41" s="2478"/>
      <c r="AF41" s="1149" t="s">
        <v>448</v>
      </c>
      <c r="AG41" s="1149" t="s">
        <v>449</v>
      </c>
      <c r="AH41" s="1265" t="s">
        <v>450</v>
      </c>
      <c r="AI41" s="2434" t="s">
        <v>451</v>
      </c>
      <c r="AJ41" s="2448"/>
      <c r="AK41" s="2487"/>
      <c r="AL41" s="2454"/>
      <c r="AM41" s="2478"/>
      <c r="AN41" s="2013" t="s">
        <v>448</v>
      </c>
      <c r="AO41" s="2013" t="s">
        <v>449</v>
      </c>
      <c r="AP41" s="2013" t="s">
        <v>450</v>
      </c>
      <c r="AQ41" s="2434" t="s">
        <v>451</v>
      </c>
      <c r="AR41" s="2448"/>
      <c r="AS41" s="2502"/>
      <c r="AT41" s="2490"/>
      <c r="AU41" s="2332"/>
      <c r="BA41" s="1082">
        <v>34</v>
      </c>
    </row>
    <row r="42" spans="1:53"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479">
        <f ca="1">OFFSET(AA42,0,-1)+1</f>
        <v>4</v>
      </c>
      <c r="AB42" s="2479"/>
      <c r="AC42" s="1262">
        <f ca="1">OFFSET(AC42,0,-2)+1</f>
        <v>5</v>
      </c>
      <c r="AD42" s="1262">
        <f ca="1">OFFSET(AD42,0,-1)+1</f>
        <v>6</v>
      </c>
      <c r="AE42" s="1262"/>
      <c r="AF42" s="1262">
        <f ca="1">OFFSET(AF42,0,-1)+1</f>
        <v>1</v>
      </c>
      <c r="AG42" s="1262">
        <f ca="1">OFFSET(AG42,0,-1)+1</f>
        <v>2</v>
      </c>
      <c r="AH42" s="1262">
        <f ca="1">OFFSET(AH42,0,-1)+1</f>
        <v>3</v>
      </c>
      <c r="AI42" s="2479">
        <f ca="1">OFFSET(AI42,0,-1)+1</f>
        <v>4</v>
      </c>
      <c r="AJ42" s="2479"/>
      <c r="AK42" s="1262">
        <f ca="1">OFFSET(AK42,0,-2)+1</f>
        <v>5</v>
      </c>
      <c r="AL42" s="2005">
        <f ca="1">OFFSET(AL42,0,-1)+1</f>
        <v>6</v>
      </c>
      <c r="AM42" s="2005"/>
      <c r="AN42" s="2005">
        <f ca="1">OFFSET(AN42,0,-1)+1</f>
        <v>1</v>
      </c>
      <c r="AO42" s="2005">
        <f ca="1">OFFSET(AO42,0,-1)+1</f>
        <v>2</v>
      </c>
      <c r="AP42" s="2005">
        <f ca="1">OFFSET(AP42,0,-1)+1</f>
        <v>3</v>
      </c>
      <c r="AQ42" s="2479">
        <f ca="1">OFFSET(AQ42,0,-1)+1</f>
        <v>4</v>
      </c>
      <c r="AR42" s="2479"/>
      <c r="AS42" s="2285">
        <f ca="1">OFFSET(AS42,0,-2)+1</f>
        <v>5</v>
      </c>
      <c r="AT42" s="1172">
        <f ca="1">OFFSET(AT42,0,-1)</f>
        <v>5</v>
      </c>
      <c r="AU42" s="1262">
        <f ca="1">OFFSET(AU42,0,-1)+1</f>
        <v>6</v>
      </c>
      <c r="AV42" s="448"/>
      <c r="AW42" s="448"/>
      <c r="AX42" s="448"/>
      <c r="AY42" s="448"/>
      <c r="AZ42" s="448"/>
      <c r="BA42" s="433">
        <v>0</v>
      </c>
    </row>
    <row r="43" spans="1:53" ht="21.95" customHeight="1">
      <c r="A43" s="1290" t="s">
        <v>165</v>
      </c>
      <c r="B43" s="1290"/>
      <c r="C43" s="1290"/>
      <c r="D43" s="1290"/>
      <c r="E43" s="2468">
        <v>1</v>
      </c>
      <c r="F43" s="1290"/>
      <c r="G43" s="1290"/>
      <c r="H43" s="1290"/>
      <c r="I43" s="1290"/>
      <c r="J43" s="1290"/>
      <c r="K43" s="1290"/>
      <c r="L43" s="1291"/>
      <c r="M43" s="1292"/>
      <c r="N43" s="1292"/>
      <c r="O43" s="1292"/>
      <c r="P43" s="298"/>
      <c r="Q43" s="297"/>
      <c r="R43" s="292"/>
      <c r="S43" s="1263">
        <f>INDEX(PT_DIFFERENTIATION_NUM_NTAR,MATCH(A43,PT_DIFFERENTIATION_NTAR_ID,0))</f>
        <v>1</v>
      </c>
      <c r="T43" s="236" t="s">
        <v>124</v>
      </c>
      <c r="U43" s="238"/>
      <c r="V43" s="2462"/>
      <c r="W43" s="2463"/>
      <c r="X43" s="2463"/>
      <c r="Y43" s="2463"/>
      <c r="Z43" s="2463"/>
      <c r="AA43" s="2463"/>
      <c r="AB43" s="2463"/>
      <c r="AC43" s="2464"/>
      <c r="AD43" s="2462" t="str">
        <f>INDEX(PT_DIFFERENTIATION_NTAR,MATCH(A43,PT_DIFFERENTIATION_NTAR_ID,0))</f>
        <v>Тариф на тепловую энергию (мощность), поставляемую потребителям</v>
      </c>
      <c r="AE43" s="2463"/>
      <c r="AF43" s="2463"/>
      <c r="AG43" s="2463"/>
      <c r="AH43" s="2463"/>
      <c r="AI43" s="2463"/>
      <c r="AJ43" s="2463"/>
      <c r="AK43" s="2463"/>
      <c r="AL43" s="2462"/>
      <c r="AM43" s="2463"/>
      <c r="AN43" s="2463"/>
      <c r="AO43" s="2463"/>
      <c r="AP43" s="2463"/>
      <c r="AQ43" s="2463"/>
      <c r="AR43" s="2463"/>
      <c r="AS43" s="2496"/>
      <c r="AT43" s="2464"/>
      <c r="AU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437"/>
      <c r="AX43" s="437" t="str">
        <f t="shared" ref="AX43:AX61" si="1">IF(T43="","",T43)</f>
        <v>Наименование тарифа</v>
      </c>
      <c r="AY43" s="437"/>
      <c r="AZ43" s="437"/>
      <c r="BA43" s="1082">
        <v>21</v>
      </c>
    </row>
    <row r="44" spans="1:53" ht="21.95" customHeight="1">
      <c r="A44" s="1290" t="s">
        <v>165</v>
      </c>
      <c r="B44" s="1290" t="s">
        <v>166</v>
      </c>
      <c r="C44" s="1290"/>
      <c r="D44" s="1290"/>
      <c r="E44" s="2469"/>
      <c r="F44" s="2468">
        <v>1</v>
      </c>
      <c r="G44" s="1290"/>
      <c r="H44" s="1290"/>
      <c r="I44" s="1290"/>
      <c r="J44" s="1290"/>
      <c r="K44" s="1290"/>
      <c r="L44" s="1291"/>
      <c r="M44" s="1292"/>
      <c r="N44" s="1292"/>
      <c r="O44" s="1292"/>
      <c r="P44" s="1259"/>
      <c r="Q44" s="289"/>
      <c r="R44" s="290"/>
      <c r="S44" s="1263" t="str">
        <f>INDEX(PT_DIFFERENTIATION_NUM_TER,MATCH(B44,PT_DIFFERENTIATION_TER_ID,0))</f>
        <v>1.1</v>
      </c>
      <c r="T44" s="246" t="s">
        <v>404</v>
      </c>
      <c r="U44" s="238"/>
      <c r="V44" s="2462"/>
      <c r="W44" s="2463"/>
      <c r="X44" s="2463"/>
      <c r="Y44" s="2463"/>
      <c r="Z44" s="2463"/>
      <c r="AA44" s="2463"/>
      <c r="AB44" s="2463"/>
      <c r="AC44" s="2464"/>
      <c r="AD44" s="2462" t="str">
        <f>INDEX(PT_DIFFERENTIATION_TER,MATCH(B44,PT_DIFFERENTIATION_TER_ID,0))</f>
        <v>Территория 1</v>
      </c>
      <c r="AE44" s="2463"/>
      <c r="AF44" s="2463"/>
      <c r="AG44" s="2463"/>
      <c r="AH44" s="2463"/>
      <c r="AI44" s="2463"/>
      <c r="AJ44" s="2463"/>
      <c r="AK44" s="2463"/>
      <c r="AL44" s="2462"/>
      <c r="AM44" s="2463"/>
      <c r="AN44" s="2463"/>
      <c r="AO44" s="2463"/>
      <c r="AP44" s="2463"/>
      <c r="AQ44" s="2463"/>
      <c r="AR44" s="2463"/>
      <c r="AS44" s="2496"/>
      <c r="AT44" s="2464"/>
      <c r="AU44" s="1185" t="s">
        <v>405</v>
      </c>
      <c r="AW44" s="437"/>
      <c r="AX44" s="437" t="str">
        <f t="shared" si="1"/>
        <v>Территория действия тарифа</v>
      </c>
      <c r="AY44" s="437"/>
      <c r="AZ44" s="437"/>
      <c r="BA44" s="1082">
        <v>21</v>
      </c>
    </row>
    <row r="45" spans="1:53" ht="24" customHeight="1">
      <c r="A45" s="1290" t="s">
        <v>165</v>
      </c>
      <c r="B45" s="1290" t="s">
        <v>166</v>
      </c>
      <c r="C45" s="1290" t="s">
        <v>167</v>
      </c>
      <c r="D45" s="1290"/>
      <c r="E45" s="2469"/>
      <c r="F45" s="2469"/>
      <c r="G45" s="2468">
        <v>1</v>
      </c>
      <c r="H45" s="1290"/>
      <c r="I45" s="1290"/>
      <c r="J45" s="1290"/>
      <c r="K45" s="1290"/>
      <c r="L45" s="1291"/>
      <c r="M45" s="1292"/>
      <c r="N45" s="1292"/>
      <c r="O45" s="1292"/>
      <c r="P45" s="291"/>
      <c r="Q45" s="289"/>
      <c r="R45" s="290"/>
      <c r="S45" s="1263" t="str">
        <f>INDEX(PT_DIFFERENTIATION_NUM_CS,MATCH(C45,PT_DIFFERENTIATION_CS_ID,0))</f>
        <v>1.1.1</v>
      </c>
      <c r="T45" s="247" t="s">
        <v>406</v>
      </c>
      <c r="U45" s="238"/>
      <c r="V45" s="2462"/>
      <c r="W45" s="2463"/>
      <c r="X45" s="2463"/>
      <c r="Y45" s="2463"/>
      <c r="Z45" s="2463"/>
      <c r="AA45" s="2463"/>
      <c r="AB45" s="2463"/>
      <c r="AC45" s="2464"/>
      <c r="AD45" s="2462" t="str">
        <f>INDEX(PT_DIFFERENTIATION_CS,MATCH(C45,PT_DIFFERENTIATION_CS_ID,0))</f>
        <v>без дифференциации</v>
      </c>
      <c r="AE45" s="2463"/>
      <c r="AF45" s="2463"/>
      <c r="AG45" s="2463"/>
      <c r="AH45" s="2463"/>
      <c r="AI45" s="2463"/>
      <c r="AJ45" s="2463"/>
      <c r="AK45" s="2463"/>
      <c r="AL45" s="2462"/>
      <c r="AM45" s="2463"/>
      <c r="AN45" s="2463"/>
      <c r="AO45" s="2463"/>
      <c r="AP45" s="2463"/>
      <c r="AQ45" s="2463"/>
      <c r="AR45" s="2463"/>
      <c r="AS45" s="2496"/>
      <c r="AT45" s="2464"/>
      <c r="AU45" s="1185" t="s">
        <v>407</v>
      </c>
      <c r="AW45" s="437"/>
      <c r="AX45" s="437" t="str">
        <f t="shared" si="1"/>
        <v xml:space="preserve">Наименование системы теплоснабжения </v>
      </c>
      <c r="AY45" s="437"/>
      <c r="AZ45" s="437"/>
      <c r="BA45" s="1082">
        <v>23</v>
      </c>
    </row>
    <row r="46" spans="1:53" ht="21.95" customHeight="1">
      <c r="A46" s="1290" t="s">
        <v>165</v>
      </c>
      <c r="B46" s="1290" t="s">
        <v>166</v>
      </c>
      <c r="C46" s="1290" t="s">
        <v>167</v>
      </c>
      <c r="D46" s="1290" t="s">
        <v>168</v>
      </c>
      <c r="E46" s="2469"/>
      <c r="F46" s="2469"/>
      <c r="G46" s="2469"/>
      <c r="H46" s="2468">
        <v>1</v>
      </c>
      <c r="I46" s="1290"/>
      <c r="J46" s="1290"/>
      <c r="K46" s="1290"/>
      <c r="L46" s="1291"/>
      <c r="M46" s="1292"/>
      <c r="N46" s="1292"/>
      <c r="O46" s="1292"/>
      <c r="P46" s="291"/>
      <c r="Q46" s="289"/>
      <c r="R46" s="290"/>
      <c r="S46" s="1263" t="str">
        <f>INDEX(PT_DIFFERENTIATION_NUM_IST_TE,MATCH(D46,PT_DIFFERENTIATION_IST_TE_ID,0))</f>
        <v>1.1.1.1</v>
      </c>
      <c r="T46" s="248" t="s">
        <v>408</v>
      </c>
      <c r="U46" s="238"/>
      <c r="V46" s="2462"/>
      <c r="W46" s="2463"/>
      <c r="X46" s="2463"/>
      <c r="Y46" s="2463"/>
      <c r="Z46" s="2463"/>
      <c r="AA46" s="2463"/>
      <c r="AB46" s="2463"/>
      <c r="AC46" s="2464"/>
      <c r="AD46" s="2462" t="str">
        <f>INDEX(PT_DIFFERENTIATION_IST_TE,MATCH(D46,PT_DIFFERENTIATION_IST_TE_ID,0))</f>
        <v>без дифференциации</v>
      </c>
      <c r="AE46" s="2463"/>
      <c r="AF46" s="2463"/>
      <c r="AG46" s="2463"/>
      <c r="AH46" s="2463"/>
      <c r="AI46" s="2463"/>
      <c r="AJ46" s="2463"/>
      <c r="AK46" s="2463"/>
      <c r="AL46" s="2462"/>
      <c r="AM46" s="2463"/>
      <c r="AN46" s="2463"/>
      <c r="AO46" s="2463"/>
      <c r="AP46" s="2463"/>
      <c r="AQ46" s="2463"/>
      <c r="AR46" s="2463"/>
      <c r="AS46" s="2496"/>
      <c r="AT46" s="2464"/>
      <c r="AU46" s="1185" t="s">
        <v>409</v>
      </c>
      <c r="AW46" s="437"/>
      <c r="AX46" s="437" t="str">
        <f t="shared" si="1"/>
        <v xml:space="preserve">Источник тепловой энергии  </v>
      </c>
      <c r="AY46" s="437"/>
      <c r="AZ46" s="437"/>
      <c r="BA46" s="1082">
        <v>21</v>
      </c>
    </row>
    <row r="47" spans="1:53" ht="49.5" customHeight="1">
      <c r="A47" s="1290" t="s">
        <v>165</v>
      </c>
      <c r="B47" s="1290" t="s">
        <v>166</v>
      </c>
      <c r="C47" s="1290" t="s">
        <v>167</v>
      </c>
      <c r="D47" s="1290" t="s">
        <v>168</v>
      </c>
      <c r="E47" s="2469"/>
      <c r="F47" s="2469"/>
      <c r="G47" s="2469"/>
      <c r="H47" s="2469"/>
      <c r="I47" s="2470" t="str">
        <f>S46&amp;".1"</f>
        <v>1.1.1.1.1</v>
      </c>
      <c r="J47" s="1290"/>
      <c r="K47" s="1290"/>
      <c r="L47" s="1291" t="s">
        <v>410</v>
      </c>
      <c r="P47" s="2472">
        <v>1</v>
      </c>
      <c r="Q47" s="1258"/>
      <c r="R47" s="293"/>
      <c r="S47" s="1263" t="str">
        <f>$I47</f>
        <v>1.1.1.1.1</v>
      </c>
      <c r="T47" s="223" t="s">
        <v>411</v>
      </c>
      <c r="U47" s="238"/>
      <c r="V47" s="2456"/>
      <c r="W47" s="2457"/>
      <c r="X47" s="2457"/>
      <c r="Y47" s="2457"/>
      <c r="Z47" s="2457"/>
      <c r="AA47" s="2457"/>
      <c r="AB47" s="2457"/>
      <c r="AC47" s="2458"/>
      <c r="AD47" s="2456" t="s">
        <v>454</v>
      </c>
      <c r="AE47" s="2457"/>
      <c r="AF47" s="2457"/>
      <c r="AG47" s="2457"/>
      <c r="AH47" s="2457"/>
      <c r="AI47" s="2457"/>
      <c r="AJ47" s="2457"/>
      <c r="AK47" s="2457"/>
      <c r="AL47" s="2456"/>
      <c r="AM47" s="2457"/>
      <c r="AN47" s="2457"/>
      <c r="AO47" s="2457"/>
      <c r="AP47" s="2457"/>
      <c r="AQ47" s="2457"/>
      <c r="AR47" s="2457"/>
      <c r="AS47" s="2495"/>
      <c r="AT47" s="2458"/>
      <c r="AU47" s="1185" t="s">
        <v>412</v>
      </c>
      <c r="AW47" s="437"/>
      <c r="AX47" s="437" t="str">
        <f t="shared" si="1"/>
        <v>Схема подключения теплопотребляющей установки к коллектору источника тепловой энергии</v>
      </c>
      <c r="AY47" s="437"/>
      <c r="AZ47" s="437"/>
      <c r="BA47" s="1082">
        <v>47</v>
      </c>
    </row>
    <row r="48" spans="1:53" ht="21.95" customHeight="1">
      <c r="A48" s="1290" t="s">
        <v>165</v>
      </c>
      <c r="B48" s="1290" t="s">
        <v>166</v>
      </c>
      <c r="C48" s="1290" t="s">
        <v>167</v>
      </c>
      <c r="D48" s="1290" t="s">
        <v>168</v>
      </c>
      <c r="E48" s="2469"/>
      <c r="F48" s="2469"/>
      <c r="G48" s="2469"/>
      <c r="H48" s="2469"/>
      <c r="I48" s="2471"/>
      <c r="J48" s="2470" t="str">
        <f>I47&amp;".1"</f>
        <v>1.1.1.1.1.1</v>
      </c>
      <c r="K48" s="1290"/>
      <c r="L48" s="1291" t="s">
        <v>413</v>
      </c>
      <c r="P48" s="2472"/>
      <c r="Q48" s="2472">
        <v>1</v>
      </c>
      <c r="R48" s="294"/>
      <c r="S48" s="1263" t="str">
        <f>$J48</f>
        <v>1.1.1.1.1.1</v>
      </c>
      <c r="T48" s="224" t="s">
        <v>414</v>
      </c>
      <c r="U48" s="238"/>
      <c r="V48" s="2456"/>
      <c r="W48" s="2457"/>
      <c r="X48" s="2457"/>
      <c r="Y48" s="2457"/>
      <c r="Z48" s="2457"/>
      <c r="AA48" s="2457"/>
      <c r="AB48" s="2457"/>
      <c r="AC48" s="2458"/>
      <c r="AD48" s="2456" t="s">
        <v>455</v>
      </c>
      <c r="AE48" s="2457"/>
      <c r="AF48" s="2457"/>
      <c r="AG48" s="2457"/>
      <c r="AH48" s="2457"/>
      <c r="AI48" s="2457"/>
      <c r="AJ48" s="2457"/>
      <c r="AK48" s="2457"/>
      <c r="AL48" s="2456"/>
      <c r="AM48" s="2457"/>
      <c r="AN48" s="2457"/>
      <c r="AO48" s="2457"/>
      <c r="AP48" s="2457"/>
      <c r="AQ48" s="2457"/>
      <c r="AR48" s="2457"/>
      <c r="AS48" s="2495"/>
      <c r="AT48" s="2458"/>
      <c r="AU48" s="1185" t="s">
        <v>415</v>
      </c>
      <c r="AW48" s="437"/>
      <c r="AX48" s="437" t="str">
        <f t="shared" si="1"/>
        <v>Группа потребителей</v>
      </c>
      <c r="AY48" s="437"/>
      <c r="AZ48" s="437"/>
      <c r="BA48" s="1082">
        <v>21</v>
      </c>
    </row>
    <row r="49" spans="1:53" ht="21.95" customHeight="1">
      <c r="A49" s="1290" t="s">
        <v>165</v>
      </c>
      <c r="B49" s="1290" t="s">
        <v>166</v>
      </c>
      <c r="C49" s="1290" t="s">
        <v>167</v>
      </c>
      <c r="D49" s="1290" t="s">
        <v>168</v>
      </c>
      <c r="E49" s="2469"/>
      <c r="F49" s="2469"/>
      <c r="G49" s="2469"/>
      <c r="H49" s="2469"/>
      <c r="I49" s="2471"/>
      <c r="J49" s="2471"/>
      <c r="K49" s="2470" t="str">
        <f>J48&amp;".1"</f>
        <v>1.1.1.1.1.1.1</v>
      </c>
      <c r="L49" s="1291" t="s">
        <v>416</v>
      </c>
      <c r="P49" s="2472"/>
      <c r="Q49" s="2472"/>
      <c r="R49" s="294">
        <v>1</v>
      </c>
      <c r="S49" s="1263" t="str">
        <f>$K49</f>
        <v>1.1.1.1.1.1.1</v>
      </c>
      <c r="T49" s="1274" t="s">
        <v>456</v>
      </c>
      <c r="U49" s="238"/>
      <c r="V49" s="688"/>
      <c r="W49" s="263"/>
      <c r="X49" s="688"/>
      <c r="Y49" s="1184"/>
      <c r="Z49" s="2473"/>
      <c r="AA49" s="2342" t="s">
        <v>67</v>
      </c>
      <c r="AB49" s="2473"/>
      <c r="AC49" s="2342" t="s">
        <v>67</v>
      </c>
      <c r="AD49" s="688">
        <v>922.51</v>
      </c>
      <c r="AE49" s="263"/>
      <c r="AF49" s="688"/>
      <c r="AG49" s="1184"/>
      <c r="AH49" s="2473">
        <v>46023</v>
      </c>
      <c r="AI49" s="2342" t="s">
        <v>67</v>
      </c>
      <c r="AJ49" s="2475">
        <v>46203</v>
      </c>
      <c r="AK49" s="2342" t="s">
        <v>67</v>
      </c>
      <c r="AL49" s="688">
        <v>1049.6199999999999</v>
      </c>
      <c r="AM49" s="263"/>
      <c r="AN49" s="688"/>
      <c r="AO49" s="1184"/>
      <c r="AP49" s="2473">
        <v>46204</v>
      </c>
      <c r="AQ49" s="2342" t="s">
        <v>67</v>
      </c>
      <c r="AR49" s="2473">
        <v>46387</v>
      </c>
      <c r="AS49" s="2342" t="s">
        <v>67</v>
      </c>
      <c r="AT49" s="1275"/>
      <c r="AU49" s="2491" t="s">
        <v>417</v>
      </c>
      <c r="AV49" s="448" t="e">
        <f ca="1">STRCHECKDATE(V50:AT50)</f>
        <v>#NAME?</v>
      </c>
      <c r="AW49" s="437"/>
      <c r="AX49" s="437" t="str">
        <f t="shared" si="1"/>
        <v>горячая вода в системе централизованного теплоснабжения на отопление</v>
      </c>
      <c r="AY49" s="437"/>
      <c r="AZ49" s="437"/>
      <c r="BA49" s="1082">
        <v>21</v>
      </c>
    </row>
    <row r="50" spans="1:53" ht="1.1499999999999999" customHeight="1">
      <c r="A50" s="1290" t="s">
        <v>165</v>
      </c>
      <c r="B50" s="1290" t="s">
        <v>166</v>
      </c>
      <c r="C50" s="1290" t="s">
        <v>167</v>
      </c>
      <c r="D50" s="1290" t="s">
        <v>168</v>
      </c>
      <c r="E50" s="2469"/>
      <c r="F50" s="2469"/>
      <c r="G50" s="2469"/>
      <c r="H50" s="2469"/>
      <c r="I50" s="2471"/>
      <c r="J50" s="2471"/>
      <c r="K50" s="2470"/>
      <c r="L50" s="1291"/>
      <c r="P50" s="2472"/>
      <c r="Q50" s="2472"/>
      <c r="R50" s="294"/>
      <c r="S50" s="1269"/>
      <c r="T50" s="238"/>
      <c r="U50" s="238"/>
      <c r="V50" s="263"/>
      <c r="W50" s="263"/>
      <c r="X50" s="263"/>
      <c r="Y50" s="266" t="str">
        <f>Z49&amp;"-"&amp;AB49</f>
        <v>-</v>
      </c>
      <c r="Z50" s="2474"/>
      <c r="AA50" s="2342"/>
      <c r="AB50" s="2474"/>
      <c r="AC50" s="2342"/>
      <c r="AD50" s="263"/>
      <c r="AE50" s="263"/>
      <c r="AF50" s="263"/>
      <c r="AG50" s="266" t="str">
        <f>AH49&amp;"-"&amp;AJ49</f>
        <v>46023-46203</v>
      </c>
      <c r="AH50" s="2474"/>
      <c r="AI50" s="2342"/>
      <c r="AJ50" s="2476"/>
      <c r="AK50" s="2342"/>
      <c r="AL50" s="263"/>
      <c r="AM50" s="263"/>
      <c r="AN50" s="263"/>
      <c r="AO50" s="266" t="str">
        <f>AP49&amp;"-"&amp;AR49</f>
        <v>46204-46387</v>
      </c>
      <c r="AP50" s="2474"/>
      <c r="AQ50" s="2342"/>
      <c r="AR50" s="2474"/>
      <c r="AS50" s="2342"/>
      <c r="AT50" s="1276"/>
      <c r="AU50" s="2492"/>
      <c r="AW50" s="437"/>
      <c r="AX50" s="437" t="str">
        <f t="shared" si="1"/>
        <v/>
      </c>
      <c r="AY50" s="437"/>
      <c r="AZ50" s="437"/>
      <c r="BA50" s="1082">
        <v>1</v>
      </c>
    </row>
    <row r="51" spans="1:53" ht="11.45" customHeight="1">
      <c r="A51" s="1290" t="s">
        <v>165</v>
      </c>
      <c r="B51" s="1290" t="s">
        <v>166</v>
      </c>
      <c r="C51" s="1290" t="s">
        <v>167</v>
      </c>
      <c r="D51" s="1290" t="s">
        <v>168</v>
      </c>
      <c r="E51" s="2469"/>
      <c r="F51" s="2469"/>
      <c r="G51" s="2469"/>
      <c r="H51" s="2469"/>
      <c r="I51" s="2471"/>
      <c r="J51" s="2470"/>
      <c r="K51" s="1290"/>
      <c r="L51" s="1291"/>
      <c r="P51" s="2472"/>
      <c r="Q51" s="2472"/>
      <c r="R51" s="293"/>
      <c r="S51" s="1205"/>
      <c r="T51" s="226" t="s">
        <v>418</v>
      </c>
      <c r="U51" s="304"/>
      <c r="V51" s="304"/>
      <c r="W51" s="304"/>
      <c r="X51" s="304"/>
      <c r="Y51" s="304"/>
      <c r="Z51" s="304"/>
      <c r="AA51" s="304"/>
      <c r="AB51" s="304"/>
      <c r="AC51" s="304"/>
      <c r="AD51" s="304"/>
      <c r="AE51" s="304"/>
      <c r="AF51" s="304"/>
      <c r="AG51" s="304"/>
      <c r="AH51" s="304"/>
      <c r="AI51" s="304"/>
      <c r="AJ51" s="304"/>
      <c r="AK51" s="304"/>
      <c r="AL51" s="2132"/>
      <c r="AM51" s="2133"/>
      <c r="AN51" s="2134"/>
      <c r="AO51" s="2135"/>
      <c r="AP51" s="2136"/>
      <c r="AQ51" s="2137"/>
      <c r="AR51" s="2138"/>
      <c r="AS51" s="2286"/>
      <c r="AT51" s="262"/>
      <c r="AU51" s="2493"/>
      <c r="AW51" s="437"/>
      <c r="AX51" s="437" t="str">
        <f t="shared" si="1"/>
        <v>Добавить вид теплоносителя (параметры теплоносителя)</v>
      </c>
      <c r="AY51" s="437"/>
      <c r="AZ51" s="437"/>
      <c r="BA51" s="1082">
        <v>11</v>
      </c>
    </row>
    <row r="52" spans="1:53" s="1775" customFormat="1" ht="21" customHeight="1">
      <c r="A52" s="1290"/>
      <c r="B52" s="1290"/>
      <c r="C52" s="1290"/>
      <c r="D52" s="1290"/>
      <c r="E52" s="2469"/>
      <c r="F52" s="2469"/>
      <c r="G52" s="2469"/>
      <c r="H52" s="2469"/>
      <c r="I52" s="2471"/>
      <c r="J52" s="2470" t="str">
        <f>I47&amp;".2"</f>
        <v>1.1.1.1.1.2</v>
      </c>
      <c r="K52" s="1290"/>
      <c r="L52" s="1296" t="s">
        <v>413</v>
      </c>
      <c r="M52" s="1293"/>
      <c r="N52" s="1293"/>
      <c r="O52" s="1702"/>
      <c r="P52" s="2472"/>
      <c r="Q52" s="2503" t="s">
        <v>452</v>
      </c>
      <c r="R52" s="294"/>
      <c r="S52" s="2006" t="str">
        <f>$J52</f>
        <v>1.1.1.1.1.2</v>
      </c>
      <c r="T52" s="224" t="s">
        <v>414</v>
      </c>
      <c r="U52" s="238"/>
      <c r="V52" s="2456"/>
      <c r="W52" s="2457"/>
      <c r="X52" s="2457"/>
      <c r="Y52" s="2457"/>
      <c r="Z52" s="2457"/>
      <c r="AA52" s="2457"/>
      <c r="AB52" s="2457"/>
      <c r="AC52" s="2458"/>
      <c r="AD52" s="2456" t="s">
        <v>457</v>
      </c>
      <c r="AE52" s="2457"/>
      <c r="AF52" s="2457"/>
      <c r="AG52" s="2457"/>
      <c r="AH52" s="2457"/>
      <c r="AI52" s="2457"/>
      <c r="AJ52" s="2457"/>
      <c r="AK52" s="2457"/>
      <c r="AL52" s="2456"/>
      <c r="AM52" s="2457"/>
      <c r="AN52" s="2457"/>
      <c r="AO52" s="2457"/>
      <c r="AP52" s="2457"/>
      <c r="AQ52" s="2457"/>
      <c r="AR52" s="2457"/>
      <c r="AS52" s="2495"/>
      <c r="AT52" s="2458"/>
      <c r="AU52" s="1185" t="s">
        <v>415</v>
      </c>
      <c r="AV52" s="1569"/>
      <c r="AW52" s="1551"/>
      <c r="AX52" s="1551" t="str">
        <f t="shared" si="1"/>
        <v>Группа потребителей</v>
      </c>
      <c r="AY52" s="1551"/>
      <c r="AZ52" s="1551"/>
      <c r="BA52" s="1562">
        <v>0</v>
      </c>
    </row>
    <row r="53" spans="1:53" s="1775" customFormat="1" ht="21" customHeight="1">
      <c r="A53" s="1290"/>
      <c r="B53" s="1290"/>
      <c r="C53" s="1290"/>
      <c r="D53" s="1290"/>
      <c r="E53" s="2469"/>
      <c r="F53" s="2469"/>
      <c r="G53" s="2469"/>
      <c r="H53" s="2469"/>
      <c r="I53" s="2471"/>
      <c r="J53" s="2471" t="str">
        <f>I47&amp;".1"</f>
        <v>1.1.1.1.1.1</v>
      </c>
      <c r="K53" s="2470" t="str">
        <f>J52&amp;".1"</f>
        <v>1.1.1.1.1.2.1</v>
      </c>
      <c r="L53" s="1296" t="s">
        <v>416</v>
      </c>
      <c r="M53" s="1293"/>
      <c r="N53" s="1293"/>
      <c r="O53" s="1293"/>
      <c r="P53" s="2472"/>
      <c r="Q53" s="2472"/>
      <c r="R53" s="294">
        <v>1</v>
      </c>
      <c r="S53" s="2006" t="str">
        <f>$K53</f>
        <v>1.1.1.1.1.2.1</v>
      </c>
      <c r="T53" s="1274" t="s">
        <v>456</v>
      </c>
      <c r="U53" s="238"/>
      <c r="V53" s="688"/>
      <c r="W53" s="263"/>
      <c r="X53" s="688"/>
      <c r="Y53" s="1184"/>
      <c r="Z53" s="2473"/>
      <c r="AA53" s="2342" t="s">
        <v>67</v>
      </c>
      <c r="AB53" s="2473"/>
      <c r="AC53" s="2342" t="s">
        <v>67</v>
      </c>
      <c r="AD53" s="688">
        <v>768.76</v>
      </c>
      <c r="AE53" s="263"/>
      <c r="AF53" s="688"/>
      <c r="AG53" s="1184"/>
      <c r="AH53" s="2473">
        <v>46023</v>
      </c>
      <c r="AI53" s="2342" t="s">
        <v>67</v>
      </c>
      <c r="AJ53" s="2473">
        <v>46203</v>
      </c>
      <c r="AK53" s="2342" t="s">
        <v>67</v>
      </c>
      <c r="AL53" s="688">
        <v>874.68</v>
      </c>
      <c r="AM53" s="263"/>
      <c r="AN53" s="688"/>
      <c r="AO53" s="1184"/>
      <c r="AP53" s="2473">
        <v>46204</v>
      </c>
      <c r="AQ53" s="2342" t="s">
        <v>67</v>
      </c>
      <c r="AR53" s="2473">
        <v>46387</v>
      </c>
      <c r="AS53" s="2342" t="s">
        <v>67</v>
      </c>
      <c r="AT53" s="263"/>
      <c r="AU53" s="2491" t="s">
        <v>417</v>
      </c>
      <c r="AV53" s="1569" t="e">
        <f ca="1">STRCHECKDATE(V54:AT54)</f>
        <v>#NAME?</v>
      </c>
      <c r="AW53" s="1551"/>
      <c r="AX53" s="1551" t="str">
        <f t="shared" si="1"/>
        <v>горячая вода в системе централизованного теплоснабжения на отопление</v>
      </c>
      <c r="AY53" s="1551"/>
      <c r="AZ53" s="1551"/>
      <c r="BA53" s="1562">
        <v>0</v>
      </c>
    </row>
    <row r="54" spans="1:53" s="1775" customFormat="1" ht="0.75" customHeight="1">
      <c r="A54" s="1290"/>
      <c r="B54" s="1290"/>
      <c r="C54" s="1290"/>
      <c r="D54" s="1290"/>
      <c r="E54" s="2469"/>
      <c r="F54" s="2469"/>
      <c r="G54" s="2469"/>
      <c r="H54" s="2469"/>
      <c r="I54" s="2471"/>
      <c r="J54" s="2471" t="str">
        <f>I47&amp;".1"</f>
        <v>1.1.1.1.1.1</v>
      </c>
      <c r="K54" s="2470"/>
      <c r="L54" s="1296"/>
      <c r="M54" s="1293"/>
      <c r="N54" s="1293"/>
      <c r="O54" s="1293"/>
      <c r="P54" s="2472"/>
      <c r="Q54" s="2472"/>
      <c r="R54" s="294"/>
      <c r="S54" s="2011"/>
      <c r="T54" s="238"/>
      <c r="U54" s="238"/>
      <c r="V54" s="263"/>
      <c r="W54" s="263"/>
      <c r="X54" s="263"/>
      <c r="Y54" s="266" t="str">
        <f>Z53&amp;"-"&amp;AB53</f>
        <v>-</v>
      </c>
      <c r="Z54" s="2474"/>
      <c r="AA54" s="2342"/>
      <c r="AB54" s="2474"/>
      <c r="AC54" s="2342"/>
      <c r="AD54" s="263"/>
      <c r="AE54" s="263"/>
      <c r="AF54" s="263"/>
      <c r="AG54" s="266" t="str">
        <f>AH53&amp;"-"&amp;AJ53</f>
        <v>46023-46203</v>
      </c>
      <c r="AH54" s="2474"/>
      <c r="AI54" s="2342"/>
      <c r="AJ54" s="2474"/>
      <c r="AK54" s="2342"/>
      <c r="AL54" s="263"/>
      <c r="AM54" s="263"/>
      <c r="AN54" s="263"/>
      <c r="AO54" s="266" t="str">
        <f>AP53&amp;"-"&amp;AR53</f>
        <v>46204-46387</v>
      </c>
      <c r="AP54" s="2474"/>
      <c r="AQ54" s="2342"/>
      <c r="AR54" s="2474"/>
      <c r="AS54" s="2342"/>
      <c r="AT54" s="263"/>
      <c r="AU54" s="2492"/>
      <c r="AV54" s="1569"/>
      <c r="AW54" s="1551"/>
      <c r="AX54" s="1551" t="str">
        <f t="shared" si="1"/>
        <v/>
      </c>
      <c r="AY54" s="1551"/>
      <c r="AZ54" s="1551"/>
      <c r="BA54" s="1562">
        <v>0</v>
      </c>
    </row>
    <row r="55" spans="1:53" s="1775" customFormat="1" ht="15" customHeight="1">
      <c r="A55" s="1290"/>
      <c r="B55" s="1290"/>
      <c r="C55" s="1290"/>
      <c r="D55" s="1290"/>
      <c r="E55" s="2469"/>
      <c r="F55" s="2469"/>
      <c r="G55" s="2469"/>
      <c r="H55" s="2469"/>
      <c r="I55" s="2471"/>
      <c r="J55" s="2470" t="str">
        <f>I47&amp;".1"</f>
        <v>1.1.1.1.1.1</v>
      </c>
      <c r="K55" s="1290"/>
      <c r="L55" s="1296"/>
      <c r="M55" s="1293"/>
      <c r="N55" s="1293"/>
      <c r="O55" s="1702"/>
      <c r="P55" s="2472"/>
      <c r="Q55" s="2472"/>
      <c r="R55" s="293"/>
      <c r="S55" s="2139"/>
      <c r="T55" s="2140" t="s">
        <v>418</v>
      </c>
      <c r="U55" s="2141"/>
      <c r="V55" s="2142"/>
      <c r="W55" s="2143"/>
      <c r="X55" s="2144"/>
      <c r="Y55" s="2145"/>
      <c r="Z55" s="2146"/>
      <c r="AA55" s="2147"/>
      <c r="AB55" s="2148"/>
      <c r="AC55" s="2149"/>
      <c r="AD55" s="2150"/>
      <c r="AE55" s="2151"/>
      <c r="AF55" s="2152"/>
      <c r="AG55" s="2153"/>
      <c r="AH55" s="2154"/>
      <c r="AI55" s="2155"/>
      <c r="AJ55" s="2156"/>
      <c r="AK55" s="2157"/>
      <c r="AL55" s="2158"/>
      <c r="AM55" s="2159"/>
      <c r="AN55" s="2160"/>
      <c r="AO55" s="2161"/>
      <c r="AP55" s="2162"/>
      <c r="AQ55" s="2163"/>
      <c r="AR55" s="2164"/>
      <c r="AS55" s="2287"/>
      <c r="AT55" s="2165"/>
      <c r="AU55" s="2493"/>
      <c r="AV55" s="1569"/>
      <c r="AW55" s="1551"/>
      <c r="AX55" s="1551" t="str">
        <f t="shared" si="1"/>
        <v>Добавить вид теплоносителя (параметры теплоносителя)</v>
      </c>
      <c r="AY55" s="1551"/>
      <c r="AZ55" s="1551"/>
      <c r="BA55" s="1562">
        <v>0</v>
      </c>
    </row>
    <row r="56" spans="1:53" ht="11.45" customHeight="1">
      <c r="A56" s="1290" t="s">
        <v>165</v>
      </c>
      <c r="B56" s="1290" t="s">
        <v>166</v>
      </c>
      <c r="C56" s="1290" t="s">
        <v>167</v>
      </c>
      <c r="D56" s="1290" t="s">
        <v>168</v>
      </c>
      <c r="E56" s="2469"/>
      <c r="F56" s="2469"/>
      <c r="G56" s="2469"/>
      <c r="H56" s="2469"/>
      <c r="I56" s="2470"/>
      <c r="J56" s="1290"/>
      <c r="K56" s="1290"/>
      <c r="L56" s="1291"/>
      <c r="P56" s="2472"/>
      <c r="Q56" s="1258"/>
      <c r="R56" s="293"/>
      <c r="S56" s="1205"/>
      <c r="T56" s="225" t="s">
        <v>419</v>
      </c>
      <c r="U56" s="304"/>
      <c r="V56" s="304"/>
      <c r="W56" s="304"/>
      <c r="X56" s="304"/>
      <c r="Y56" s="304"/>
      <c r="Z56" s="304"/>
      <c r="AA56" s="304"/>
      <c r="AB56" s="304"/>
      <c r="AC56" s="303"/>
      <c r="AD56" s="304"/>
      <c r="AE56" s="304"/>
      <c r="AF56" s="304"/>
      <c r="AG56" s="304"/>
      <c r="AH56" s="304"/>
      <c r="AI56" s="304"/>
      <c r="AJ56" s="304"/>
      <c r="AK56" s="303"/>
      <c r="AL56" s="2166"/>
      <c r="AM56" s="2167"/>
      <c r="AN56" s="2168"/>
      <c r="AO56" s="2169"/>
      <c r="AP56" s="2170"/>
      <c r="AQ56" s="2171"/>
      <c r="AR56" s="2172"/>
      <c r="AS56" s="2288"/>
      <c r="AT56" s="304"/>
      <c r="AU56" s="241"/>
      <c r="AW56" s="437"/>
      <c r="AX56" s="437" t="str">
        <f t="shared" si="1"/>
        <v>Добавить группу потребителей</v>
      </c>
      <c r="AY56" s="437"/>
      <c r="AZ56" s="437"/>
      <c r="BA56" s="1082">
        <v>11</v>
      </c>
    </row>
    <row r="57" spans="1:53" ht="14.65" customHeight="1">
      <c r="A57" s="1290" t="s">
        <v>165</v>
      </c>
      <c r="B57" s="1290" t="s">
        <v>166</v>
      </c>
      <c r="C57" s="1290" t="s">
        <v>167</v>
      </c>
      <c r="D57" s="1290" t="s">
        <v>168</v>
      </c>
      <c r="E57" s="2469"/>
      <c r="F57" s="2469"/>
      <c r="G57" s="2469"/>
      <c r="H57" s="2468"/>
      <c r="I57" s="1290"/>
      <c r="J57" s="1290"/>
      <c r="K57" s="1290"/>
      <c r="L57" s="1291"/>
      <c r="M57" s="1292"/>
      <c r="N57" s="1292"/>
      <c r="O57" s="474"/>
      <c r="P57" s="297"/>
      <c r="Q57" s="312"/>
      <c r="R57" s="292"/>
      <c r="S57" s="1205"/>
      <c r="T57" s="302" t="s">
        <v>420</v>
      </c>
      <c r="U57" s="304"/>
      <c r="V57" s="304"/>
      <c r="W57" s="304"/>
      <c r="X57" s="304"/>
      <c r="Y57" s="304"/>
      <c r="Z57" s="304"/>
      <c r="AA57" s="304"/>
      <c r="AB57" s="304"/>
      <c r="AC57" s="303"/>
      <c r="AD57" s="304"/>
      <c r="AE57" s="304"/>
      <c r="AF57" s="304"/>
      <c r="AG57" s="304"/>
      <c r="AH57" s="304"/>
      <c r="AI57" s="304"/>
      <c r="AJ57" s="304"/>
      <c r="AK57" s="303"/>
      <c r="AL57" s="2173"/>
      <c r="AM57" s="2174"/>
      <c r="AN57" s="2175"/>
      <c r="AO57" s="2176"/>
      <c r="AP57" s="2177"/>
      <c r="AQ57" s="2178"/>
      <c r="AR57" s="2179"/>
      <c r="AS57" s="2289"/>
      <c r="AT57" s="304"/>
      <c r="AU57" s="241"/>
      <c r="AW57" s="437"/>
      <c r="AX57" s="437" t="str">
        <f t="shared" si="1"/>
        <v>Добавить схему подключения</v>
      </c>
      <c r="AY57" s="437"/>
      <c r="AZ57" s="437"/>
      <c r="BA57" s="1082">
        <v>14</v>
      </c>
    </row>
    <row r="58" spans="1:53" s="1569" customFormat="1" ht="1.1499999999999999" customHeight="1">
      <c r="A58" s="1270" t="s">
        <v>165</v>
      </c>
      <c r="B58" s="1270" t="s">
        <v>166</v>
      </c>
      <c r="C58" s="1270" t="s">
        <v>167</v>
      </c>
      <c r="D58" s="1241"/>
      <c r="E58" s="2469"/>
      <c r="F58" s="2469"/>
      <c r="G58" s="2468"/>
      <c r="H58" s="1241"/>
      <c r="I58" s="1241"/>
      <c r="J58" s="1241"/>
      <c r="K58" s="1241"/>
      <c r="L58" s="1266"/>
      <c r="M58" s="1242"/>
      <c r="N58" s="1242"/>
      <c r="P58" s="1243"/>
      <c r="Q58" s="1244"/>
      <c r="R58" s="1243"/>
      <c r="S58" s="1249"/>
      <c r="T58" s="1252" t="s">
        <v>169</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2278"/>
      <c r="AT58" s="1251"/>
      <c r="AU58" s="1251"/>
      <c r="AW58" s="720"/>
      <c r="AX58" s="720" t="str">
        <f t="shared" si="1"/>
        <v>Добавить источник для дифференциации</v>
      </c>
      <c r="AY58" s="720"/>
      <c r="AZ58" s="720"/>
      <c r="BA58" s="455">
        <v>1</v>
      </c>
    </row>
    <row r="59" spans="1:53" s="1569" customFormat="1" ht="1.1499999999999999" customHeight="1">
      <c r="A59" s="1270" t="s">
        <v>165</v>
      </c>
      <c r="B59" s="1270" t="s">
        <v>166</v>
      </c>
      <c r="C59" s="1241"/>
      <c r="D59" s="1241"/>
      <c r="E59" s="2469"/>
      <c r="F59" s="2468"/>
      <c r="G59" s="1241"/>
      <c r="H59" s="1241"/>
      <c r="I59" s="1241"/>
      <c r="J59" s="1241"/>
      <c r="K59" s="1241"/>
      <c r="L59" s="1266"/>
      <c r="M59" s="1248"/>
      <c r="N59" s="1248"/>
      <c r="P59" s="1243"/>
      <c r="Q59" s="1244"/>
      <c r="R59" s="1243"/>
      <c r="S59" s="1249"/>
      <c r="T59" s="1252" t="s">
        <v>170</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2278"/>
      <c r="AT59" s="1251"/>
      <c r="AU59" s="1251"/>
      <c r="AW59" s="720"/>
      <c r="AX59" s="720" t="str">
        <f t="shared" si="1"/>
        <v>Добавить централизованную систему для дифференциации</v>
      </c>
      <c r="AY59" s="720"/>
      <c r="AZ59" s="720"/>
      <c r="BA59" s="455">
        <v>1</v>
      </c>
    </row>
    <row r="60" spans="1:53" s="1569" customFormat="1" ht="1.1499999999999999" customHeight="1">
      <c r="A60" s="1270" t="s">
        <v>165</v>
      </c>
      <c r="B60" s="1270"/>
      <c r="C60" s="1270"/>
      <c r="D60" s="1270"/>
      <c r="E60" s="2468"/>
      <c r="F60" s="1270"/>
      <c r="G60" s="1270"/>
      <c r="H60" s="1270"/>
      <c r="I60" s="1270"/>
      <c r="J60" s="1270"/>
      <c r="K60" s="1270"/>
      <c r="L60" s="1273"/>
      <c r="M60" s="1248"/>
      <c r="N60" s="1248"/>
      <c r="O60" s="455"/>
      <c r="P60" s="317"/>
      <c r="Q60" s="1271"/>
      <c r="R60" s="317"/>
      <c r="S60" s="1249"/>
      <c r="T60" s="1252" t="s">
        <v>171</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2278"/>
      <c r="AT60" s="1251"/>
      <c r="AU60" s="1251"/>
      <c r="AW60" s="437"/>
      <c r="AX60" s="437" t="str">
        <f t="shared" si="1"/>
        <v>Добавить территорию для дифференциации</v>
      </c>
      <c r="AY60" s="437"/>
      <c r="AZ60" s="437"/>
      <c r="BA60" s="448">
        <v>1</v>
      </c>
    </row>
    <row r="61" spans="1:53" s="1569" customFormat="1" ht="1.1499999999999999" customHeight="1">
      <c r="A61" s="1241"/>
      <c r="B61" s="1241"/>
      <c r="C61" s="1241"/>
      <c r="D61" s="1241"/>
      <c r="E61" s="1270"/>
      <c r="F61" s="1241"/>
      <c r="G61" s="1241"/>
      <c r="H61" s="1241"/>
      <c r="I61" s="1241"/>
      <c r="J61" s="1241"/>
      <c r="K61" s="1241"/>
      <c r="L61" s="1266"/>
      <c r="M61" s="1248"/>
      <c r="N61" s="1248"/>
      <c r="P61" s="1243"/>
      <c r="Q61" s="1244"/>
      <c r="R61" s="1243"/>
      <c r="S61" s="1249"/>
      <c r="T61" s="1252" t="s">
        <v>172</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2278"/>
      <c r="AT61" s="1251"/>
      <c r="AU61" s="1251"/>
      <c r="AW61" s="720"/>
      <c r="AX61" s="720" t="str">
        <f t="shared" si="1"/>
        <v>Добавить наименование тарифа</v>
      </c>
      <c r="AY61" s="720"/>
      <c r="AZ61" s="720"/>
      <c r="BA61" s="455">
        <v>1</v>
      </c>
    </row>
    <row r="62" spans="1:53" ht="11.45" customHeight="1">
      <c r="M62" s="1087"/>
      <c r="N62" s="1087"/>
      <c r="O62" s="474"/>
      <c r="P62" s="1082"/>
      <c r="Q62" s="1082"/>
      <c r="R62" s="1082"/>
      <c r="S62" s="1082"/>
      <c r="AL62" s="1562"/>
      <c r="AM62" s="1562"/>
      <c r="AN62" s="1562"/>
      <c r="AO62" s="1562"/>
      <c r="AP62" s="1562"/>
      <c r="AQ62" s="1562"/>
      <c r="AR62" s="1562"/>
      <c r="AS62" s="2273"/>
      <c r="AV62" s="1082"/>
      <c r="AW62" s="1082"/>
      <c r="AX62" s="1082"/>
      <c r="AY62" s="1082"/>
      <c r="AZ62" s="1082"/>
      <c r="BA62" s="1082">
        <v>11</v>
      </c>
    </row>
    <row r="63" spans="1:53" ht="28.5" customHeight="1">
      <c r="O63" s="474"/>
      <c r="S63" s="1180"/>
      <c r="T63" s="2467"/>
      <c r="U63" s="2467"/>
      <c r="V63" s="2467"/>
      <c r="W63" s="2467"/>
      <c r="X63" s="2467"/>
      <c r="Y63" s="2467"/>
      <c r="Z63" s="2467"/>
      <c r="AA63" s="2467"/>
      <c r="AB63" s="2467"/>
      <c r="AC63" s="2467"/>
      <c r="AD63" s="2467"/>
      <c r="AE63" s="2467"/>
      <c r="AF63" s="2467"/>
      <c r="AG63" s="2467"/>
      <c r="AH63" s="2467"/>
      <c r="AI63" s="2467"/>
      <c r="AJ63" s="2467"/>
      <c r="AK63" s="2467"/>
      <c r="AL63" s="2467"/>
      <c r="AM63" s="2467"/>
      <c r="AN63" s="2467"/>
      <c r="AO63" s="2467"/>
      <c r="AP63" s="2467"/>
      <c r="AQ63" s="2467"/>
      <c r="AR63" s="2467"/>
      <c r="AS63" s="2494"/>
      <c r="AT63" s="2467"/>
      <c r="AU63" s="2467"/>
      <c r="BA63" s="1082">
        <v>27</v>
      </c>
    </row>
    <row r="64" spans="1:53" ht="65.25" customHeight="1">
      <c r="O64" s="474"/>
      <c r="T64" s="2467"/>
      <c r="U64" s="2467"/>
      <c r="V64" s="2467"/>
      <c r="W64" s="2467"/>
      <c r="X64" s="2467"/>
      <c r="Y64" s="2467"/>
      <c r="Z64" s="2467"/>
      <c r="AA64" s="2467"/>
      <c r="AB64" s="2467"/>
      <c r="AC64" s="2467"/>
      <c r="AD64" s="2467"/>
      <c r="AE64" s="2467"/>
      <c r="AF64" s="2467"/>
      <c r="AG64" s="2467"/>
      <c r="AH64" s="2467"/>
      <c r="AI64" s="2467"/>
      <c r="AJ64" s="2467"/>
      <c r="AK64" s="2467"/>
      <c r="AL64" s="2467"/>
      <c r="AM64" s="2467"/>
      <c r="AN64" s="2467"/>
      <c r="AO64" s="2467"/>
      <c r="AP64" s="2467"/>
      <c r="AQ64" s="2467"/>
      <c r="AR64" s="2467"/>
      <c r="AS64" s="2494"/>
      <c r="AT64" s="2467"/>
      <c r="AU64" s="2467"/>
      <c r="BA64" s="1082">
        <v>62</v>
      </c>
    </row>
    <row r="65" spans="1:53" ht="14.65" customHeight="1">
      <c r="O65" s="474"/>
      <c r="AL65" s="1562"/>
      <c r="AM65" s="1562"/>
      <c r="AN65" s="1562"/>
      <c r="AO65" s="1562"/>
      <c r="AP65" s="1562"/>
      <c r="AQ65" s="1562"/>
      <c r="AR65" s="1562"/>
      <c r="AS65" s="2273"/>
      <c r="BA65" s="1082">
        <v>14</v>
      </c>
    </row>
    <row r="66" spans="1:53" ht="18.75" customHeight="1">
      <c r="O66" s="474"/>
      <c r="S66" s="1180"/>
      <c r="T66" s="2467"/>
      <c r="U66" s="2467"/>
      <c r="V66" s="2467"/>
      <c r="W66" s="2467"/>
      <c r="X66" s="2467"/>
      <c r="Y66" s="2467"/>
      <c r="Z66" s="2467"/>
      <c r="AA66" s="2467"/>
      <c r="AB66" s="2467"/>
      <c r="AC66" s="2467"/>
      <c r="AD66" s="2467"/>
      <c r="AE66" s="2467"/>
      <c r="AF66" s="2467"/>
      <c r="AG66" s="2467"/>
      <c r="AH66" s="2467"/>
      <c r="AI66" s="2467"/>
      <c r="AJ66" s="2467"/>
      <c r="AK66" s="2467"/>
      <c r="AL66" s="2467"/>
      <c r="AM66" s="2467"/>
      <c r="AN66" s="2467"/>
      <c r="AO66" s="2467"/>
      <c r="AP66" s="2467"/>
      <c r="AQ66" s="2467"/>
      <c r="AR66" s="2467"/>
      <c r="AS66" s="2494"/>
      <c r="AT66" s="2467"/>
      <c r="AU66" s="2467"/>
      <c r="BA66" s="1082">
        <v>18</v>
      </c>
    </row>
    <row r="67" spans="1:53" ht="18.75" customHeight="1">
      <c r="O67" s="474"/>
      <c r="T67" s="2467"/>
      <c r="U67" s="2467"/>
      <c r="V67" s="2467"/>
      <c r="W67" s="2467"/>
      <c r="X67" s="2467"/>
      <c r="Y67" s="2467"/>
      <c r="Z67" s="2467"/>
      <c r="AA67" s="2467"/>
      <c r="AB67" s="2467"/>
      <c r="AC67" s="2467"/>
      <c r="AD67" s="2467"/>
      <c r="AE67" s="2467"/>
      <c r="AF67" s="2467"/>
      <c r="AG67" s="2467"/>
      <c r="AH67" s="2467"/>
      <c r="AI67" s="2467"/>
      <c r="AJ67" s="2467"/>
      <c r="AK67" s="2467"/>
      <c r="AL67" s="2467"/>
      <c r="AM67" s="2467"/>
      <c r="AN67" s="2467"/>
      <c r="AO67" s="2467"/>
      <c r="AP67" s="2467"/>
      <c r="AQ67" s="2467"/>
      <c r="AR67" s="2467"/>
      <c r="AS67" s="2494"/>
      <c r="AT67" s="2467"/>
      <c r="AU67" s="2467"/>
      <c r="BA67" s="1082">
        <v>18</v>
      </c>
    </row>
    <row r="68" spans="1:53" ht="29.25" customHeight="1">
      <c r="O68" s="474"/>
      <c r="S68" s="1180"/>
      <c r="T68" s="2467"/>
      <c r="U68" s="2467"/>
      <c r="V68" s="2467"/>
      <c r="W68" s="2467"/>
      <c r="X68" s="2467"/>
      <c r="Y68" s="2467"/>
      <c r="Z68" s="2467"/>
      <c r="AA68" s="2467"/>
      <c r="AB68" s="2467"/>
      <c r="AC68" s="2467"/>
      <c r="AD68" s="2467"/>
      <c r="AE68" s="2467"/>
      <c r="AF68" s="2467"/>
      <c r="AG68" s="2467"/>
      <c r="AH68" s="2467"/>
      <c r="AI68" s="2467"/>
      <c r="AJ68" s="2467"/>
      <c r="AK68" s="2467"/>
      <c r="AL68" s="2467"/>
      <c r="AM68" s="2467"/>
      <c r="AN68" s="2467"/>
      <c r="AO68" s="2467"/>
      <c r="AP68" s="2467"/>
      <c r="AQ68" s="2467"/>
      <c r="AR68" s="2467"/>
      <c r="AS68" s="2494"/>
      <c r="AT68" s="2467"/>
      <c r="AU68" s="2467"/>
      <c r="BA68" s="1082">
        <v>28</v>
      </c>
    </row>
    <row r="69" spans="1:53" ht="22.5" hidden="1" customHeight="1">
      <c r="A69" s="1087" t="s">
        <v>83</v>
      </c>
      <c r="B69" s="1087">
        <v>0</v>
      </c>
      <c r="C69" s="1087">
        <v>0</v>
      </c>
      <c r="D69" s="1087">
        <v>0</v>
      </c>
      <c r="E69" s="1087">
        <v>0</v>
      </c>
      <c r="F69" s="1087">
        <v>0</v>
      </c>
      <c r="G69" s="1087">
        <v>0</v>
      </c>
      <c r="H69" s="1087">
        <v>0</v>
      </c>
      <c r="I69" s="1087">
        <v>0</v>
      </c>
      <c r="J69" s="1087">
        <v>0</v>
      </c>
      <c r="K69" s="1087">
        <v>0</v>
      </c>
      <c r="L69" s="1256">
        <v>0</v>
      </c>
      <c r="M69" s="1289">
        <v>0</v>
      </c>
      <c r="N69" s="1289">
        <v>0</v>
      </c>
      <c r="O69" s="1289">
        <v>0</v>
      </c>
      <c r="P69" s="1255">
        <v>3</v>
      </c>
      <c r="Q69" s="282">
        <v>3</v>
      </c>
      <c r="R69" s="282">
        <v>3</v>
      </c>
      <c r="S69" s="518">
        <v>12</v>
      </c>
      <c r="T69" s="1082">
        <v>31</v>
      </c>
      <c r="U69" s="1082">
        <v>0</v>
      </c>
      <c r="V69" s="1082">
        <v>0</v>
      </c>
      <c r="W69" s="1082">
        <v>0</v>
      </c>
      <c r="X69" s="1082">
        <v>0</v>
      </c>
      <c r="Y69" s="1082">
        <v>0</v>
      </c>
      <c r="Z69" s="1082">
        <v>0</v>
      </c>
      <c r="AA69" s="1082">
        <v>0</v>
      </c>
      <c r="AB69" s="1082">
        <v>0</v>
      </c>
      <c r="AC69" s="1082">
        <v>0</v>
      </c>
      <c r="AD69" s="1082">
        <v>24</v>
      </c>
      <c r="AE69" s="1082">
        <v>0</v>
      </c>
      <c r="AF69" s="1082">
        <v>24</v>
      </c>
      <c r="AG69" s="1082">
        <v>24</v>
      </c>
      <c r="AH69" s="1082">
        <v>11</v>
      </c>
      <c r="AI69" s="1082">
        <v>3</v>
      </c>
      <c r="AJ69" s="1082">
        <v>11</v>
      </c>
      <c r="AK69" s="1082">
        <v>0</v>
      </c>
      <c r="AL69" s="1562">
        <v>0</v>
      </c>
      <c r="AM69" s="1562">
        <v>0</v>
      </c>
      <c r="AN69" s="1562">
        <v>0</v>
      </c>
      <c r="AO69" s="1562">
        <v>0</v>
      </c>
      <c r="AP69" s="1562">
        <v>0</v>
      </c>
      <c r="AQ69" s="1562">
        <v>0</v>
      </c>
      <c r="AR69" s="1562">
        <v>0</v>
      </c>
      <c r="AS69" s="2273">
        <v>0</v>
      </c>
      <c r="AT69" s="1082">
        <v>4</v>
      </c>
      <c r="AU69" s="1082">
        <v>115</v>
      </c>
      <c r="AV69" s="448">
        <v>10</v>
      </c>
      <c r="AW69" s="448">
        <v>10</v>
      </c>
      <c r="AX69" s="448">
        <v>10</v>
      </c>
      <c r="AY69" s="448">
        <v>10</v>
      </c>
      <c r="AZ69" s="448">
        <v>10</v>
      </c>
      <c r="BA69" s="1082">
        <v>23</v>
      </c>
    </row>
  </sheetData>
  <sheetProtection formatColumns="0" formatRows="0" insertRows="0" deleteColumns="0" deleteRows="0" sort="0" autoFilter="0"/>
  <mergeCells count="153">
    <mergeCell ref="K53:K54"/>
    <mergeCell ref="Z53:Z54"/>
    <mergeCell ref="AA53:AA54"/>
    <mergeCell ref="AB53:AB54"/>
    <mergeCell ref="AC53:AC54"/>
    <mergeCell ref="AP53:AP54"/>
    <mergeCell ref="AQ53:AQ54"/>
    <mergeCell ref="AR53:AR54"/>
    <mergeCell ref="AS53:AS54"/>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T7"/>
    <mergeCell ref="V2:AC2"/>
    <mergeCell ref="AD2:AT2"/>
    <mergeCell ref="V3:AC3"/>
    <mergeCell ref="AD3:AT3"/>
    <mergeCell ref="V4:AC4"/>
    <mergeCell ref="AD4:AT4"/>
    <mergeCell ref="V5:AC5"/>
    <mergeCell ref="AD5:AT5"/>
    <mergeCell ref="V6:AC6"/>
    <mergeCell ref="AD6:AT6"/>
    <mergeCell ref="AU8:AU10"/>
    <mergeCell ref="AH17:AH18"/>
    <mergeCell ref="AI17:AI18"/>
    <mergeCell ref="AJ17:AJ18"/>
    <mergeCell ref="AK17:AK18"/>
    <mergeCell ref="AH8:AH9"/>
    <mergeCell ref="AI8:AI9"/>
    <mergeCell ref="AJ8:AJ9"/>
    <mergeCell ref="AK8:AK9"/>
    <mergeCell ref="AP8:AP9"/>
    <mergeCell ref="AQ8:AQ9"/>
    <mergeCell ref="AR8:AR9"/>
    <mergeCell ref="AS8:AS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E43:E60"/>
    <mergeCell ref="V43:AC43"/>
    <mergeCell ref="AD43:AT43"/>
    <mergeCell ref="F44:F59"/>
    <mergeCell ref="V44:AC44"/>
    <mergeCell ref="AD44:AT44"/>
    <mergeCell ref="G45:G58"/>
    <mergeCell ref="V45:AC45"/>
    <mergeCell ref="AD45:AT45"/>
    <mergeCell ref="H46:H57"/>
    <mergeCell ref="V46:AC46"/>
    <mergeCell ref="AD46:AT46"/>
    <mergeCell ref="I47:I56"/>
    <mergeCell ref="P47:P56"/>
    <mergeCell ref="V47:AC47"/>
    <mergeCell ref="AD47:AT47"/>
    <mergeCell ref="AP49:AP50"/>
    <mergeCell ref="AQ49:AQ50"/>
    <mergeCell ref="AR49:AR50"/>
    <mergeCell ref="AS49:AS50"/>
    <mergeCell ref="AH53:AH54"/>
    <mergeCell ref="AI53:AI54"/>
    <mergeCell ref="AJ53:AJ54"/>
    <mergeCell ref="AK53:AK54"/>
    <mergeCell ref="T67:AU67"/>
    <mergeCell ref="T68:AU68"/>
    <mergeCell ref="T66:AU66"/>
    <mergeCell ref="AU49:AU51"/>
    <mergeCell ref="T63:AU63"/>
    <mergeCell ref="T64:AU64"/>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U53:AU55"/>
    <mergeCell ref="V52:AC52"/>
    <mergeCell ref="AD52:AT52"/>
    <mergeCell ref="J52:J55"/>
    <mergeCell ref="Q52:Q55"/>
  </mergeCells>
  <dataValidations count="8">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AO9 AO50 Y54 AG54 AO54" xr:uid="{00000000-0002-0000-0B00-000000000000}"/>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AS327733 AK393269:AS393269 AK49 AQ49 AS49 AK524341:AS524341 AK8 AQ8 AS8 AK589877:AS589877 AK655413:AS655413 AK17 AK720949:AS720949 AK786485:AS786485 AK852021:AS852021 AK917557:AS917557 AK983093:AS983093 AK65589:AS65589 AK131125:AS131125 AI49 AK458805:AS458805 AI8 AC8 AA8 AI17 AK196661:AS196661 AA49 AC49 AK262197:AS262197 AA53 AC53 AI53 AK53 AQ53 AS5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AP8 AR8 AP49 AR49 Z53 AB53 AH53 AJ53 AP53 AR53" xr:uid="{00000000-0002-0000-0B00-000002000000}"/>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U65583:AU65590 AU131119:AU131126 AU196655:AU196662 AU262191:AU262198 AU327727:AU327734 AU393263:AU393270 AU458799:AU458806 AU524335:AU524342 AU589871:AU589878 AU655407:AU655414 AU720943:AU720950 AU786479:AU786486 AU852015:AU852022 AU917551:AU917558 AU983087:AU983094" xr:uid="{00000000-0002-0000-0B00-000004000000}">
      <formula1>900</formula1>
    </dataValidation>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xr:uid="{00000000-0002-0000-0B00-000005000000}">
      <formula1>kind_of_scheme_in</formula1>
    </dataValidation>
    <dataValidation allowBlank="1" sqref="S131127:AU131133 S196663:AU196669 S262199:AU262205 S327735:AU327741 S393271:AU393277 S458807:AU458813 S524343:AU524349 S589879:AU589885 S655415:AU655421 S720951:AU720957 S786487:AU786493 S852023:AU852029 S917559:AU917565 S983095:AU983101 S65591:AU65597" xr:uid="{00000000-0002-0000-0B00-000006000000}"/>
    <dataValidation type="list" allowBlank="1" showInputMessage="1" errorTitle="Ошибка" error="Выберите значение из списка" prompt="Выберите значение из списка" sqref="V983092:AT983092 V65588:AT65588 V131124:AT131124 V196660:AT196660 V262196:AT262196 V327732:AT327732 V393268:AT393268 V458804:AT458804 V524340:AT524340 V589876:AT589876 V655412:AT655412 V720948:AT720948 V786484:AT786484 V852020:AT852020 V917556:AT917556"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567FF-E765-9B0B-FA77-4E032CEA7066}">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8" hidden="1" customWidth="1"/>
    <col min="15" max="15" width="23.42578125" style="2008" hidden="1" customWidth="1"/>
    <col min="16" max="16" width="3" style="2008" customWidth="1"/>
    <col min="17" max="18" width="3" style="282" customWidth="1"/>
    <col min="19" max="19" width="12" style="2009"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504">
        <v>1</v>
      </c>
      <c r="F2" s="1194"/>
      <c r="G2" s="1194"/>
      <c r="H2" s="1194"/>
      <c r="I2" s="1194"/>
      <c r="J2" s="1194"/>
      <c r="K2" s="1194"/>
      <c r="L2" s="1237"/>
      <c r="M2" s="1537"/>
      <c r="N2" s="1537"/>
      <c r="O2" s="1537"/>
      <c r="P2" s="1517"/>
      <c r="Q2" s="297"/>
      <c r="R2" s="292"/>
      <c r="S2" s="1880" t="e">
        <f>INDEX(PT_DIFFERENTIATION_NUM_NTAR,MATCH(A2,PT_DIFFERENTIATION_NTAR_ID,0))</f>
        <v>#N/A</v>
      </c>
      <c r="T2" s="1452" t="s">
        <v>124</v>
      </c>
      <c r="U2" s="238"/>
      <c r="V2" s="2462"/>
      <c r="W2" s="2463"/>
      <c r="X2" s="2463"/>
      <c r="Y2" s="2463"/>
      <c r="Z2" s="2463"/>
      <c r="AA2" s="2463"/>
      <c r="AB2" s="2463"/>
      <c r="AC2" s="2464"/>
      <c r="AD2" s="2462" t="e">
        <f>INDEX(PT_DIFFERENTIATION_NTAR,MATCH(A2,PT_DIFFERENTIATION_NTAR_ID,0))</f>
        <v>#N/A</v>
      </c>
      <c r="AE2" s="2463"/>
      <c r="AF2" s="2463"/>
      <c r="AG2" s="2463"/>
      <c r="AH2" s="2463"/>
      <c r="AI2" s="2463"/>
      <c r="AJ2" s="2463"/>
      <c r="AK2" s="2463"/>
      <c r="AL2" s="2464"/>
      <c r="AM2" s="1185" t="s">
        <v>403</v>
      </c>
      <c r="AO2" s="1551"/>
      <c r="AP2" s="1551" t="str">
        <f t="shared" ref="AP2:AP15" si="0">IF(T2="","",T2)</f>
        <v>Наименование тарифа</v>
      </c>
      <c r="AQ2" s="1551"/>
      <c r="AR2" s="1551"/>
      <c r="AS2" s="1558">
        <v>0</v>
      </c>
    </row>
    <row r="3" spans="1:45" ht="21" hidden="1" customHeight="1">
      <c r="A3" s="1194"/>
      <c r="B3" s="1194"/>
      <c r="C3" s="1194"/>
      <c r="D3" s="1194"/>
      <c r="E3" s="2505"/>
      <c r="F3" s="2504">
        <v>1</v>
      </c>
      <c r="G3" s="1194"/>
      <c r="H3" s="1194"/>
      <c r="I3" s="1194"/>
      <c r="J3" s="1194"/>
      <c r="K3" s="1194"/>
      <c r="L3" s="1237"/>
      <c r="M3" s="1537"/>
      <c r="N3" s="1537"/>
      <c r="O3" s="1537"/>
      <c r="P3" s="1862"/>
      <c r="Q3" s="289"/>
      <c r="R3" s="290"/>
      <c r="S3" s="1880" t="e">
        <f>INDEX(PT_DIFFERENTIATION_NUM_TER,MATCH(B3,PT_DIFFERENTIATION_TER_ID,0))</f>
        <v>#N/A</v>
      </c>
      <c r="T3" s="1449" t="s">
        <v>404</v>
      </c>
      <c r="U3" s="238"/>
      <c r="V3" s="2462"/>
      <c r="W3" s="2463"/>
      <c r="X3" s="2463"/>
      <c r="Y3" s="2463"/>
      <c r="Z3" s="2463"/>
      <c r="AA3" s="2463"/>
      <c r="AB3" s="2463"/>
      <c r="AC3" s="2464"/>
      <c r="AD3" s="2462" t="e">
        <f>INDEX(PT_DIFFERENTIATION_TER,MATCH(B3,PT_DIFFERENTIATION_TER_ID,0))</f>
        <v>#N/A</v>
      </c>
      <c r="AE3" s="2463"/>
      <c r="AF3" s="2463"/>
      <c r="AG3" s="2463"/>
      <c r="AH3" s="2463"/>
      <c r="AI3" s="2463"/>
      <c r="AJ3" s="2463"/>
      <c r="AK3" s="2463"/>
      <c r="AL3" s="2464"/>
      <c r="AM3" s="1185" t="s">
        <v>405</v>
      </c>
      <c r="AO3" s="1551"/>
      <c r="AP3" s="1551" t="str">
        <f t="shared" si="0"/>
        <v>Территория действия тарифа</v>
      </c>
      <c r="AQ3" s="1551"/>
      <c r="AR3" s="1551"/>
      <c r="AS3" s="1558">
        <v>0</v>
      </c>
    </row>
    <row r="4" spans="1:45" ht="23.25" hidden="1" customHeight="1">
      <c r="A4" s="1194"/>
      <c r="B4" s="1194"/>
      <c r="C4" s="1194"/>
      <c r="D4" s="1194"/>
      <c r="E4" s="2505"/>
      <c r="F4" s="2505"/>
      <c r="G4" s="2504">
        <v>1</v>
      </c>
      <c r="H4" s="1194"/>
      <c r="I4" s="1194"/>
      <c r="J4" s="1194"/>
      <c r="K4" s="1194"/>
      <c r="L4" s="1237"/>
      <c r="M4" s="1537"/>
      <c r="N4" s="1537"/>
      <c r="O4" s="1537"/>
      <c r="P4" s="291"/>
      <c r="Q4" s="289"/>
      <c r="R4" s="290"/>
      <c r="S4" s="1880" t="e">
        <f>INDEX(PT_DIFFERENTIATION_NUM_CS,MATCH(C4,PT_DIFFERENTIATION_CS_ID,0))</f>
        <v>#N/A</v>
      </c>
      <c r="T4" s="247" t="s">
        <v>406</v>
      </c>
      <c r="U4" s="238"/>
      <c r="V4" s="2462"/>
      <c r="W4" s="2463"/>
      <c r="X4" s="2463"/>
      <c r="Y4" s="2463"/>
      <c r="Z4" s="2463"/>
      <c r="AA4" s="2463"/>
      <c r="AB4" s="2463"/>
      <c r="AC4" s="2464"/>
      <c r="AD4" s="2462" t="e">
        <f>INDEX(PT_DIFFERENTIATION_CS,MATCH(C4,PT_DIFFERENTIATION_CS_ID,0))</f>
        <v>#N/A</v>
      </c>
      <c r="AE4" s="2463"/>
      <c r="AF4" s="2463"/>
      <c r="AG4" s="2463"/>
      <c r="AH4" s="2463"/>
      <c r="AI4" s="2463"/>
      <c r="AJ4" s="2463"/>
      <c r="AK4" s="2463"/>
      <c r="AL4" s="2464"/>
      <c r="AM4" s="1185" t="s">
        <v>407</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505"/>
      <c r="F5" s="2505"/>
      <c r="G5" s="2505"/>
      <c r="H5" s="2504">
        <v>1</v>
      </c>
      <c r="I5" s="1194"/>
      <c r="J5" s="1194"/>
      <c r="K5" s="1194"/>
      <c r="L5" s="1237"/>
      <c r="M5" s="1537"/>
      <c r="N5" s="1537"/>
      <c r="O5" s="1537"/>
      <c r="P5" s="291"/>
      <c r="Q5" s="289"/>
      <c r="R5" s="290"/>
      <c r="S5" s="1880" t="e">
        <f>INDEX(PT_DIFFERENTIATION_NUM_IST_TE,MATCH(D5,PT_DIFFERENTIATION_IST_TE_ID,0))</f>
        <v>#N/A</v>
      </c>
      <c r="T5" s="248" t="s">
        <v>408</v>
      </c>
      <c r="U5" s="238"/>
      <c r="V5" s="2462"/>
      <c r="W5" s="2463"/>
      <c r="X5" s="2463"/>
      <c r="Y5" s="2463"/>
      <c r="Z5" s="2463"/>
      <c r="AA5" s="2463"/>
      <c r="AB5" s="2463"/>
      <c r="AC5" s="2464"/>
      <c r="AD5" s="2462" t="e">
        <f>INDEX(PT_DIFFERENTIATION_IST_TE,MATCH(D5,PT_DIFFERENTIATION_IST_TE_ID,0))</f>
        <v>#N/A</v>
      </c>
      <c r="AE5" s="2463"/>
      <c r="AF5" s="2463"/>
      <c r="AG5" s="2463"/>
      <c r="AH5" s="2463"/>
      <c r="AI5" s="2463"/>
      <c r="AJ5" s="2463"/>
      <c r="AK5" s="2463"/>
      <c r="AL5" s="2464"/>
      <c r="AM5" s="1185" t="s">
        <v>409</v>
      </c>
      <c r="AO5" s="1551"/>
      <c r="AP5" s="1551" t="str">
        <f t="shared" si="0"/>
        <v xml:space="preserve">Источник тепловой энергии  </v>
      </c>
      <c r="AQ5" s="1551"/>
      <c r="AR5" s="1551"/>
      <c r="AS5" s="1558">
        <v>0</v>
      </c>
    </row>
    <row r="6" spans="1:45" ht="47.25" hidden="1" customHeight="1">
      <c r="A6" s="1194"/>
      <c r="B6" s="1194"/>
      <c r="C6" s="1194"/>
      <c r="D6" s="1194"/>
      <c r="E6" s="2505"/>
      <c r="F6" s="2505"/>
      <c r="G6" s="2505"/>
      <c r="H6" s="2505"/>
      <c r="I6" s="2332" t="e">
        <f>S5&amp;".1"</f>
        <v>#N/A</v>
      </c>
      <c r="J6" s="1194"/>
      <c r="K6" s="1194"/>
      <c r="L6" s="1237" t="s">
        <v>410</v>
      </c>
      <c r="M6" s="1562"/>
      <c r="P6" s="2472">
        <v>1</v>
      </c>
      <c r="Q6" s="1876"/>
      <c r="R6" s="293"/>
      <c r="S6" s="1880" t="e">
        <f>$I6</f>
        <v>#N/A</v>
      </c>
      <c r="T6" s="223" t="s">
        <v>411</v>
      </c>
      <c r="U6" s="238"/>
      <c r="V6" s="2456"/>
      <c r="W6" s="2457"/>
      <c r="X6" s="2457"/>
      <c r="Y6" s="2457"/>
      <c r="Z6" s="2457"/>
      <c r="AA6" s="2457"/>
      <c r="AB6" s="2457"/>
      <c r="AC6" s="2458"/>
      <c r="AD6" s="2456"/>
      <c r="AE6" s="2457"/>
      <c r="AF6" s="2457"/>
      <c r="AG6" s="2457"/>
      <c r="AH6" s="2457"/>
      <c r="AI6" s="2457"/>
      <c r="AJ6" s="2457"/>
      <c r="AK6" s="2457"/>
      <c r="AL6" s="2458"/>
      <c r="AM6" s="1185" t="s">
        <v>412</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505"/>
      <c r="F7" s="2505"/>
      <c r="G7" s="2505"/>
      <c r="H7" s="2505"/>
      <c r="I7" s="2314"/>
      <c r="J7" s="2332" t="e">
        <f>I6&amp;".1"</f>
        <v>#N/A</v>
      </c>
      <c r="K7" s="1194"/>
      <c r="L7" s="1237" t="s">
        <v>413</v>
      </c>
      <c r="M7" s="1562"/>
      <c r="N7" s="1558"/>
      <c r="P7" s="2472"/>
      <c r="Q7" s="2472">
        <v>1</v>
      </c>
      <c r="R7" s="294"/>
      <c r="S7" s="1880" t="e">
        <f>$J7</f>
        <v>#N/A</v>
      </c>
      <c r="T7" s="224" t="s">
        <v>414</v>
      </c>
      <c r="U7" s="238"/>
      <c r="V7" s="2456"/>
      <c r="W7" s="2457"/>
      <c r="X7" s="2457"/>
      <c r="Y7" s="2457"/>
      <c r="Z7" s="2457"/>
      <c r="AA7" s="2457"/>
      <c r="AB7" s="2457"/>
      <c r="AC7" s="2458"/>
      <c r="AD7" s="2456"/>
      <c r="AE7" s="2457"/>
      <c r="AF7" s="2457"/>
      <c r="AG7" s="2457"/>
      <c r="AH7" s="2457"/>
      <c r="AI7" s="2457"/>
      <c r="AJ7" s="2457"/>
      <c r="AK7" s="2457"/>
      <c r="AL7" s="2458"/>
      <c r="AM7" s="1185" t="s">
        <v>415</v>
      </c>
      <c r="AO7" s="1551"/>
      <c r="AP7" s="1551" t="str">
        <f t="shared" si="0"/>
        <v>Группа потребителей</v>
      </c>
      <c r="AQ7" s="1551"/>
      <c r="AR7" s="1551"/>
      <c r="AS7" s="1558">
        <v>0</v>
      </c>
    </row>
    <row r="8" spans="1:45" ht="21" hidden="1" customHeight="1">
      <c r="A8" s="1194"/>
      <c r="B8" s="1194"/>
      <c r="C8" s="1194"/>
      <c r="D8" s="1194"/>
      <c r="E8" s="2505"/>
      <c r="F8" s="2505"/>
      <c r="G8" s="2505"/>
      <c r="H8" s="2505"/>
      <c r="I8" s="2314"/>
      <c r="J8" s="2314"/>
      <c r="K8" s="2332" t="e">
        <f>J7&amp;".1"</f>
        <v>#N/A</v>
      </c>
      <c r="L8" s="1237" t="s">
        <v>416</v>
      </c>
      <c r="M8" s="1562"/>
      <c r="N8" s="1558"/>
      <c r="O8" s="1558"/>
      <c r="P8" s="2472"/>
      <c r="Q8" s="2472"/>
      <c r="R8" s="294">
        <v>1</v>
      </c>
      <c r="S8" s="1880" t="e">
        <f>$K8</f>
        <v>#N/A</v>
      </c>
      <c r="T8" s="1274"/>
      <c r="U8" s="238"/>
      <c r="V8" s="688"/>
      <c r="W8" s="263"/>
      <c r="X8" s="688"/>
      <c r="Y8" s="1184"/>
      <c r="Z8" s="2473"/>
      <c r="AA8" s="2342" t="s">
        <v>67</v>
      </c>
      <c r="AB8" s="2473"/>
      <c r="AC8" s="2342" t="s">
        <v>67</v>
      </c>
      <c r="AD8" s="688"/>
      <c r="AE8" s="263"/>
      <c r="AF8" s="688"/>
      <c r="AG8" s="1184"/>
      <c r="AH8" s="2473"/>
      <c r="AI8" s="2342" t="s">
        <v>67</v>
      </c>
      <c r="AJ8" s="2473"/>
      <c r="AK8" s="2342" t="s">
        <v>67</v>
      </c>
      <c r="AL8" s="263"/>
      <c r="AM8" s="2491" t="s">
        <v>417</v>
      </c>
      <c r="AN8" s="1563" t="e">
        <f ca="1">STRCHECKDATE(V9:AL9)</f>
        <v>#NAME?</v>
      </c>
      <c r="AO8" s="1551"/>
      <c r="AP8" s="1551" t="str">
        <f t="shared" si="0"/>
        <v/>
      </c>
      <c r="AQ8" s="1551"/>
      <c r="AR8" s="1551"/>
      <c r="AS8" s="1558">
        <v>0</v>
      </c>
    </row>
    <row r="9" spans="1:45" ht="0.75" hidden="1" customHeight="1">
      <c r="A9" s="1194"/>
      <c r="B9" s="1194"/>
      <c r="C9" s="1194"/>
      <c r="D9" s="1194"/>
      <c r="E9" s="2505"/>
      <c r="F9" s="2505"/>
      <c r="G9" s="2505"/>
      <c r="H9" s="2505"/>
      <c r="I9" s="2314"/>
      <c r="J9" s="2314"/>
      <c r="K9" s="2332"/>
      <c r="L9" s="1237"/>
      <c r="M9" s="1562"/>
      <c r="N9" s="1558"/>
      <c r="O9" s="1558"/>
      <c r="P9" s="2472"/>
      <c r="Q9" s="2472"/>
      <c r="R9" s="294"/>
      <c r="S9" s="1889"/>
      <c r="T9" s="238"/>
      <c r="U9" s="238"/>
      <c r="V9" s="263"/>
      <c r="W9" s="263"/>
      <c r="X9" s="263"/>
      <c r="Y9" s="266" t="str">
        <f>Z8&amp;"-"&amp;AB8</f>
        <v>-</v>
      </c>
      <c r="Z9" s="2474"/>
      <c r="AA9" s="2342"/>
      <c r="AB9" s="2474"/>
      <c r="AC9" s="2342"/>
      <c r="AD9" s="263"/>
      <c r="AE9" s="263"/>
      <c r="AF9" s="263"/>
      <c r="AG9" s="266" t="str">
        <f>AH8&amp;"-"&amp;AJ8</f>
        <v>-</v>
      </c>
      <c r="AH9" s="2474"/>
      <c r="AI9" s="2342"/>
      <c r="AJ9" s="2474"/>
      <c r="AK9" s="2342"/>
      <c r="AL9" s="263"/>
      <c r="AM9" s="2492"/>
      <c r="AO9" s="1551"/>
      <c r="AP9" s="1551" t="str">
        <f t="shared" si="0"/>
        <v/>
      </c>
      <c r="AQ9" s="1551"/>
      <c r="AR9" s="1551"/>
      <c r="AS9" s="1558">
        <v>0</v>
      </c>
    </row>
    <row r="10" spans="1:45" ht="15" hidden="1" customHeight="1">
      <c r="A10" s="1194"/>
      <c r="B10" s="1194"/>
      <c r="C10" s="1194"/>
      <c r="D10" s="1194"/>
      <c r="E10" s="2505"/>
      <c r="F10" s="2505"/>
      <c r="G10" s="2505"/>
      <c r="H10" s="2505"/>
      <c r="I10" s="2314"/>
      <c r="J10" s="2332"/>
      <c r="K10" s="1194"/>
      <c r="L10" s="1237"/>
      <c r="M10" s="1562"/>
      <c r="N10" s="1558"/>
      <c r="P10" s="2472"/>
      <c r="Q10" s="2472"/>
      <c r="R10" s="293"/>
      <c r="S10" s="1205"/>
      <c r="T10" s="226" t="s">
        <v>418</v>
      </c>
      <c r="U10" s="537"/>
      <c r="V10" s="537"/>
      <c r="W10" s="537"/>
      <c r="X10" s="537"/>
      <c r="Y10" s="537"/>
      <c r="Z10" s="537"/>
      <c r="AA10" s="537"/>
      <c r="AB10" s="537"/>
      <c r="AC10" s="537"/>
      <c r="AD10" s="537"/>
      <c r="AE10" s="537"/>
      <c r="AF10" s="537"/>
      <c r="AG10" s="537"/>
      <c r="AH10" s="537"/>
      <c r="AI10" s="537"/>
      <c r="AJ10" s="537"/>
      <c r="AK10" s="537"/>
      <c r="AL10" s="262"/>
      <c r="AM10" s="2493"/>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505"/>
      <c r="F11" s="2505"/>
      <c r="G11" s="2505"/>
      <c r="H11" s="2505"/>
      <c r="I11" s="2332"/>
      <c r="J11" s="1194"/>
      <c r="K11" s="1194"/>
      <c r="L11" s="1237"/>
      <c r="M11" s="1562"/>
      <c r="P11" s="2472"/>
      <c r="Q11" s="1876"/>
      <c r="R11" s="293"/>
      <c r="S11" s="1205"/>
      <c r="T11" s="225" t="s">
        <v>419</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505"/>
      <c r="F12" s="2505"/>
      <c r="G12" s="2505"/>
      <c r="H12" s="2504"/>
      <c r="I12" s="1194"/>
      <c r="J12" s="1194"/>
      <c r="K12" s="1194"/>
      <c r="L12" s="1237"/>
      <c r="M12" s="1537"/>
      <c r="N12" s="1537"/>
      <c r="O12" s="1562"/>
      <c r="P12" s="297"/>
      <c r="Q12" s="312"/>
      <c r="R12" s="292"/>
      <c r="S12" s="1205"/>
      <c r="T12" s="302" t="s">
        <v>420</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505"/>
      <c r="F13" s="2505"/>
      <c r="G13" s="2504"/>
      <c r="H13" s="1301"/>
      <c r="I13" s="1301"/>
      <c r="J13" s="1301"/>
      <c r="K13" s="1301"/>
      <c r="L13" s="1304"/>
      <c r="M13" s="1305"/>
      <c r="N13" s="1305"/>
      <c r="O13" s="288"/>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505"/>
      <c r="F14" s="2504"/>
      <c r="G14" s="1301"/>
      <c r="H14" s="1301"/>
      <c r="I14" s="1301"/>
      <c r="J14" s="1301"/>
      <c r="K14" s="1301"/>
      <c r="L14" s="1304"/>
      <c r="M14" s="1306"/>
      <c r="N14" s="1306"/>
      <c r="O14" s="28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504"/>
      <c r="F15" s="1301"/>
      <c r="G15" s="1301"/>
      <c r="H15" s="1301"/>
      <c r="I15" s="1301"/>
      <c r="J15" s="1301"/>
      <c r="K15" s="1301"/>
      <c r="L15" s="1304"/>
      <c r="M15" s="1306"/>
      <c r="N15" s="1306"/>
      <c r="O15" s="28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466"/>
      <c r="AI17" s="2465" t="s">
        <v>67</v>
      </c>
      <c r="AJ17" s="2466"/>
      <c r="AK17" s="2465" t="s">
        <v>67</v>
      </c>
      <c r="AS17" s="1558">
        <v>0</v>
      </c>
    </row>
    <row r="18" spans="1:45" ht="14.25" hidden="1" customHeight="1">
      <c r="AD18" s="1287"/>
      <c r="AE18" s="1287"/>
      <c r="AF18" s="1287"/>
      <c r="AG18" s="266" t="str">
        <f>AH17&amp;"-"&amp;AJ17</f>
        <v>-</v>
      </c>
      <c r="AH18" s="2465"/>
      <c r="AI18" s="2465"/>
      <c r="AJ18" s="2465"/>
      <c r="AK18" s="2465"/>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421</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422</v>
      </c>
      <c r="P22" s="1289"/>
      <c r="Q22" s="1298"/>
      <c r="R22" s="1298"/>
      <c r="S22" s="666"/>
      <c r="T22" s="1293" t="s">
        <v>423</v>
      </c>
      <c r="AA22" s="532" t="s">
        <v>424</v>
      </c>
      <c r="AC22" s="532" t="s">
        <v>425</v>
      </c>
      <c r="AD22" s="1293" t="s">
        <v>423</v>
      </c>
      <c r="AI22" s="532" t="s">
        <v>426</v>
      </c>
      <c r="AK22" s="532" t="s">
        <v>425</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4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49"/>
      <c r="U26" s="2449"/>
      <c r="V26" s="2449"/>
      <c r="W26" s="2449"/>
      <c r="X26" s="2449"/>
      <c r="Y26" s="2449"/>
      <c r="Z26" s="2449"/>
      <c r="AA26" s="2449"/>
      <c r="AB26" s="2449"/>
      <c r="AC26" s="2449"/>
      <c r="AD26" s="2449"/>
      <c r="AE26" s="2449"/>
      <c r="AF26" s="2449"/>
      <c r="AG26" s="2449"/>
      <c r="AH26" s="2449"/>
      <c r="AI26" s="2449"/>
      <c r="AJ26" s="2449"/>
      <c r="AK26" s="1170"/>
      <c r="AS26" s="1558">
        <v>14</v>
      </c>
    </row>
    <row r="27" spans="1:45" ht="14.65" customHeight="1">
      <c r="Q27" s="313"/>
      <c r="R27" s="313"/>
      <c r="S27" s="2421" t="str">
        <f>IF(org=0,"Не определено",org)</f>
        <v>МУП "Городские тепловые сети" МО  "город Курчатов"</v>
      </c>
      <c r="T27" s="2421"/>
      <c r="U27" s="2421"/>
      <c r="V27" s="2421"/>
      <c r="W27" s="2421"/>
      <c r="X27" s="2421"/>
      <c r="Y27" s="2421"/>
      <c r="Z27" s="2421"/>
      <c r="AA27" s="2421"/>
      <c r="AB27" s="2421"/>
      <c r="AC27" s="2421"/>
      <c r="AD27" s="2421"/>
      <c r="AE27" s="2421"/>
      <c r="AF27" s="2421"/>
      <c r="AG27" s="2421"/>
      <c r="AH27" s="2421"/>
      <c r="AI27" s="2421"/>
      <c r="AJ27" s="2421"/>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459" t="s">
        <v>42</v>
      </c>
      <c r="T29" s="2459"/>
      <c r="U29" s="1299"/>
      <c r="V29" s="2461" t="str">
        <f>IF(TITLE_NAME_OR_PR_CHANGE="",IF(TITLE_NAME_OR_PR="","",TITLE_NAME_OR_PR),TITLE_NAME_OR_PR_CHANGE)</f>
        <v/>
      </c>
      <c r="W29" s="2461"/>
      <c r="X29" s="2461"/>
      <c r="Y29" s="2461"/>
      <c r="Z29" s="2461"/>
      <c r="AA29" s="2461"/>
      <c r="AB29" s="2461"/>
      <c r="AC29" s="1562"/>
      <c r="AD29" s="2461" t="str">
        <f>IF(TITLE_NAME_OR_PR_CHANGE="",IF(TITLE_NAME_OR_PR="","",TITLE_NAME_OR_PR),TITLE_NAME_OR_PR_CHANGE)</f>
        <v/>
      </c>
      <c r="AE29" s="2461"/>
      <c r="AF29" s="2461"/>
      <c r="AG29" s="2461"/>
      <c r="AH29" s="2461"/>
      <c r="AI29" s="2461"/>
      <c r="AJ29" s="2461"/>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459" t="s">
        <v>427</v>
      </c>
      <c r="T30" s="2459"/>
      <c r="U30" s="1299"/>
      <c r="V30" s="2460">
        <f>IF(TITLE_DATE_PR_CHANGE="",IF(TITLE_DATE_PR="","",TITLE_DATE_PR),TITLE_DATE_PR_CHANGE)</f>
        <v>45775</v>
      </c>
      <c r="W30" s="2460"/>
      <c r="X30" s="2460"/>
      <c r="Y30" s="2460"/>
      <c r="Z30" s="2460"/>
      <c r="AA30" s="2460"/>
      <c r="AB30" s="2460"/>
      <c r="AC30" s="1562"/>
      <c r="AD30" s="2460">
        <f>IF(TITLE_DATE_PR_CHANGE="",IF(TITLE_DATE_PR="","",TITLE_DATE_PR),TITLE_DATE_PR_CHANGE)</f>
        <v>45775</v>
      </c>
      <c r="AE30" s="2460"/>
      <c r="AF30" s="2460"/>
      <c r="AG30" s="2460"/>
      <c r="AH30" s="2460"/>
      <c r="AI30" s="2460"/>
      <c r="AJ30" s="2460"/>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459" t="s">
        <v>428</v>
      </c>
      <c r="T31" s="2459"/>
      <c r="U31" s="1299"/>
      <c r="V31" s="2461" t="str">
        <f>IF(TITLE_NUMBER_PR_CHANGE="",IF(TITLE_NUMBER_PR="","",TITLE_NUMBER_PR),TITLE_NUMBER_PR_CHANGE)</f>
        <v>03.5-1382</v>
      </c>
      <c r="W31" s="2461"/>
      <c r="X31" s="2461"/>
      <c r="Y31" s="2461"/>
      <c r="Z31" s="2461"/>
      <c r="AA31" s="2461"/>
      <c r="AB31" s="2461"/>
      <c r="AC31" s="1562"/>
      <c r="AD31" s="2461" t="str">
        <f>IF(TITLE_NUMBER_PR_CHANGE="",IF(TITLE_NUMBER_PR="","",TITLE_NUMBER_PR),TITLE_NUMBER_PR_CHANGE)</f>
        <v>03.5-1382</v>
      </c>
      <c r="AE31" s="2461"/>
      <c r="AF31" s="2461"/>
      <c r="AG31" s="2461"/>
      <c r="AH31" s="2461"/>
      <c r="AI31" s="2461"/>
      <c r="AJ31" s="2461"/>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459" t="s">
        <v>43</v>
      </c>
      <c r="T32" s="2459"/>
      <c r="U32" s="1299"/>
      <c r="V32" s="2461" t="str">
        <f>IF(TITLE_IST_PUB_CHANGE="",IF(TITLE_IST_PUB="","",TITLE_IST_PUB),TITLE_IST_PUB_CHANGE)</f>
        <v/>
      </c>
      <c r="W32" s="2461"/>
      <c r="X32" s="2461"/>
      <c r="Y32" s="2461"/>
      <c r="Z32" s="2461"/>
      <c r="AA32" s="2461"/>
      <c r="AB32" s="2461"/>
      <c r="AC32" s="1562"/>
      <c r="AD32" s="2461" t="str">
        <f>IF(TITLE_IST_PUB_CHANGE="",IF(TITLE_IST_PUB="","",TITLE_IST_PUB),TITLE_IST_PUB_CHANGE)</f>
        <v/>
      </c>
      <c r="AE32" s="2461"/>
      <c r="AF32" s="2461"/>
      <c r="AG32" s="2461"/>
      <c r="AH32" s="2461"/>
      <c r="AI32" s="2461"/>
      <c r="AJ32" s="2461"/>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459" t="s">
        <v>429</v>
      </c>
      <c r="T34" s="2459"/>
      <c r="U34" s="1299"/>
      <c r="V34" s="2460">
        <f>IF(TITLE_DATE_PR_CHANGE="",IF(TITLE_DATE_PR="","",TITLE_DATE_PR),TITLE_DATE_PR_CHANGE)</f>
        <v>45775</v>
      </c>
      <c r="W34" s="2460"/>
      <c r="X34" s="2460"/>
      <c r="Y34" s="2460"/>
      <c r="Z34" s="2460"/>
      <c r="AA34" s="2460"/>
      <c r="AB34" s="2460"/>
      <c r="AC34" s="1562"/>
      <c r="AD34" s="2460">
        <f>IF(TITLE_DATE_PR_CHANGE="",IF(TITLE_DATE_PR="","",TITLE_DATE_PR),TITLE_DATE_PR_CHANGE)</f>
        <v>45775</v>
      </c>
      <c r="AE34" s="2460"/>
      <c r="AF34" s="2460"/>
      <c r="AG34" s="2460"/>
      <c r="AH34" s="2460"/>
      <c r="AI34" s="2460"/>
      <c r="AJ34" s="2460"/>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459" t="s">
        <v>430</v>
      </c>
      <c r="T35" s="2459"/>
      <c r="U35" s="1299"/>
      <c r="V35" s="2461" t="str">
        <f>IF(TITLE_NUMBER_PR_CHANGE="",IF(TITLE_NUMBER_PR="","",TITLE_NUMBER_PR),TITLE_NUMBER_PR_CHANGE)</f>
        <v>03.5-1382</v>
      </c>
      <c r="W35" s="2461"/>
      <c r="X35" s="2461"/>
      <c r="Y35" s="2461"/>
      <c r="Z35" s="2461"/>
      <c r="AA35" s="2461"/>
      <c r="AB35" s="2461"/>
      <c r="AC35" s="1562"/>
      <c r="AD35" s="2461" t="str">
        <f>IF(TITLE_NUMBER_PR_CHANGE="",IF(TITLE_NUMBER_PR="","",TITLE_NUMBER_PR),TITLE_NUMBER_PR_CHANGE)</f>
        <v>03.5-1382</v>
      </c>
      <c r="AE35" s="2461"/>
      <c r="AF35" s="2461"/>
      <c r="AG35" s="2461"/>
      <c r="AH35" s="2461"/>
      <c r="AI35" s="2461"/>
      <c r="AJ35" s="2461"/>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431</v>
      </c>
      <c r="AD36" s="1562"/>
      <c r="AE36" s="1562"/>
      <c r="AF36" s="1562"/>
      <c r="AG36" s="1562"/>
      <c r="AH36" s="1562"/>
      <c r="AI36" s="1562"/>
      <c r="AJ36" s="1562"/>
      <c r="AK36" s="1569" t="s">
        <v>431</v>
      </c>
      <c r="AN36" s="305"/>
      <c r="AO36" s="305"/>
      <c r="AP36" s="305"/>
      <c r="AQ36" s="305"/>
      <c r="AR36" s="305"/>
      <c r="AS36" s="355">
        <v>0</v>
      </c>
    </row>
    <row r="37" spans="1:45" ht="14.65" customHeight="1">
      <c r="Q37" s="313"/>
      <c r="R37" s="313"/>
      <c r="S37" s="1202"/>
      <c r="T37" s="394"/>
      <c r="U37" s="1171"/>
      <c r="V37" s="2480"/>
      <c r="W37" s="2480"/>
      <c r="X37" s="2480"/>
      <c r="Y37" s="2480"/>
      <c r="Z37" s="2480"/>
      <c r="AA37" s="2480"/>
      <c r="AB37" s="2480"/>
      <c r="AC37" s="2480"/>
      <c r="AD37" s="2480"/>
      <c r="AE37" s="2480"/>
      <c r="AF37" s="2480"/>
      <c r="AG37" s="2480"/>
      <c r="AH37" s="2480"/>
      <c r="AI37" s="2480"/>
      <c r="AJ37" s="2480"/>
      <c r="AK37" s="2480"/>
      <c r="AS37" s="1558">
        <v>14</v>
      </c>
    </row>
    <row r="38" spans="1:45" ht="14.65" customHeight="1">
      <c r="Q38" s="313"/>
      <c r="R38" s="313"/>
      <c r="S38" s="2332" t="s">
        <v>307</v>
      </c>
      <c r="T38" s="2332"/>
      <c r="U38" s="2332"/>
      <c r="V38" s="2332"/>
      <c r="W38" s="2332"/>
      <c r="X38" s="2332"/>
      <c r="Y38" s="2332"/>
      <c r="Z38" s="2332"/>
      <c r="AA38" s="2332"/>
      <c r="AB38" s="2332"/>
      <c r="AC38" s="2332"/>
      <c r="AD38" s="2332"/>
      <c r="AE38" s="2332"/>
      <c r="AF38" s="2332"/>
      <c r="AG38" s="2332"/>
      <c r="AH38" s="2332"/>
      <c r="AI38" s="2332"/>
      <c r="AJ38" s="2332"/>
      <c r="AK38" s="2332"/>
      <c r="AL38" s="2332"/>
      <c r="AM38" s="2332" t="s">
        <v>308</v>
      </c>
      <c r="AS38" s="1558">
        <v>14</v>
      </c>
    </row>
    <row r="39" spans="1:45" ht="14.65" customHeight="1">
      <c r="Q39" s="313"/>
      <c r="R39" s="313"/>
      <c r="S39" s="2481" t="s">
        <v>89</v>
      </c>
      <c r="T39" s="2429" t="s">
        <v>432</v>
      </c>
      <c r="U39" s="275"/>
      <c r="V39" s="2482" t="s">
        <v>433</v>
      </c>
      <c r="W39" s="2483"/>
      <c r="X39" s="2483"/>
      <c r="Y39" s="2483"/>
      <c r="Z39" s="2483"/>
      <c r="AA39" s="2483"/>
      <c r="AB39" s="2484"/>
      <c r="AC39" s="2485" t="s">
        <v>434</v>
      </c>
      <c r="AD39" s="2482" t="s">
        <v>433</v>
      </c>
      <c r="AE39" s="2483"/>
      <c r="AF39" s="2483"/>
      <c r="AG39" s="2483"/>
      <c r="AH39" s="2483"/>
      <c r="AI39" s="2483"/>
      <c r="AJ39" s="2484"/>
      <c r="AK39" s="2485" t="s">
        <v>435</v>
      </c>
      <c r="AL39" s="2488" t="s">
        <v>436</v>
      </c>
      <c r="AM39" s="2332"/>
      <c r="AS39" s="1558">
        <v>14</v>
      </c>
    </row>
    <row r="40" spans="1:45" ht="35.65" customHeight="1">
      <c r="Q40" s="313"/>
      <c r="R40" s="313"/>
      <c r="S40" s="2481"/>
      <c r="T40" s="2429"/>
      <c r="U40" s="961"/>
      <c r="V40" s="2401" t="s">
        <v>437</v>
      </c>
      <c r="W40" s="2477" t="s">
        <v>438</v>
      </c>
      <c r="X40" s="2314" t="s">
        <v>439</v>
      </c>
      <c r="Y40" s="2313"/>
      <c r="Z40" s="2314" t="s">
        <v>453</v>
      </c>
      <c r="AA40" s="2319"/>
      <c r="AB40" s="2313"/>
      <c r="AC40" s="2486"/>
      <c r="AD40" s="2401" t="s">
        <v>437</v>
      </c>
      <c r="AE40" s="2477" t="s">
        <v>438</v>
      </c>
      <c r="AF40" s="2314" t="s">
        <v>439</v>
      </c>
      <c r="AG40" s="2313"/>
      <c r="AH40" s="2314" t="s">
        <v>440</v>
      </c>
      <c r="AI40" s="2319"/>
      <c r="AJ40" s="2313"/>
      <c r="AK40" s="2486"/>
      <c r="AL40" s="2489"/>
      <c r="AM40" s="2332"/>
      <c r="AS40" s="1558">
        <v>34</v>
      </c>
    </row>
    <row r="41" spans="1:45" ht="35.65" customHeight="1">
      <c r="A41" s="1193"/>
      <c r="B41" s="1193" t="s">
        <v>136</v>
      </c>
      <c r="C41" s="1193" t="s">
        <v>137</v>
      </c>
      <c r="D41" s="1193" t="s">
        <v>138</v>
      </c>
      <c r="E41" s="1237" t="s">
        <v>441</v>
      </c>
      <c r="F41" s="1237" t="s">
        <v>442</v>
      </c>
      <c r="G41" s="1237" t="s">
        <v>443</v>
      </c>
      <c r="H41" s="1237" t="s">
        <v>444</v>
      </c>
      <c r="I41" s="1237" t="s">
        <v>445</v>
      </c>
      <c r="J41" s="1237" t="s">
        <v>446</v>
      </c>
      <c r="K41" s="1237" t="s">
        <v>447</v>
      </c>
      <c r="L41" s="1237" t="s">
        <v>422</v>
      </c>
      <c r="Q41" s="313"/>
      <c r="R41" s="313"/>
      <c r="S41" s="2481"/>
      <c r="T41" s="2429"/>
      <c r="U41" s="240"/>
      <c r="V41" s="2454"/>
      <c r="W41" s="2478"/>
      <c r="X41" s="1860" t="s">
        <v>448</v>
      </c>
      <c r="Y41" s="1860" t="s">
        <v>449</v>
      </c>
      <c r="Z41" s="1860" t="s">
        <v>450</v>
      </c>
      <c r="AA41" s="2434" t="s">
        <v>451</v>
      </c>
      <c r="AB41" s="2448"/>
      <c r="AC41" s="2487"/>
      <c r="AD41" s="2454"/>
      <c r="AE41" s="2478"/>
      <c r="AF41" s="1860" t="s">
        <v>448</v>
      </c>
      <c r="AG41" s="1860" t="s">
        <v>449</v>
      </c>
      <c r="AH41" s="1860" t="s">
        <v>450</v>
      </c>
      <c r="AI41" s="2434" t="s">
        <v>451</v>
      </c>
      <c r="AJ41" s="2448"/>
      <c r="AK41" s="2487"/>
      <c r="AL41" s="2490"/>
      <c r="AM41" s="2332"/>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110</v>
      </c>
      <c r="T42" s="1182" t="s">
        <v>111</v>
      </c>
      <c r="U42" s="1172" t="str">
        <f ca="1">OFFSET(U42,0,-1)</f>
        <v>2</v>
      </c>
      <c r="V42" s="1878">
        <f ca="1">OFFSET(V42,0,-1)+1</f>
        <v>3</v>
      </c>
      <c r="W42" s="1878"/>
      <c r="X42" s="1878">
        <f ca="1">OFFSET(X42,0,-1)+1</f>
        <v>1</v>
      </c>
      <c r="Y42" s="1878">
        <f ca="1">OFFSET(Y42,0,-1)+1</f>
        <v>2</v>
      </c>
      <c r="Z42" s="1878">
        <f ca="1">OFFSET(Z42,0,-1)+1</f>
        <v>3</v>
      </c>
      <c r="AA42" s="2479">
        <f ca="1">OFFSET(AA42,0,-1)+1</f>
        <v>4</v>
      </c>
      <c r="AB42" s="2479"/>
      <c r="AC42" s="1878">
        <f ca="1">OFFSET(AC42,0,-2)+1</f>
        <v>5</v>
      </c>
      <c r="AD42" s="1878">
        <f ca="1">OFFSET(AD42,0,-1)+1</f>
        <v>6</v>
      </c>
      <c r="AE42" s="1878"/>
      <c r="AF42" s="1878">
        <f ca="1">OFFSET(AF42,0,-1)+1</f>
        <v>1</v>
      </c>
      <c r="AG42" s="1878">
        <f ca="1">OFFSET(AG42,0,-1)+1</f>
        <v>2</v>
      </c>
      <c r="AH42" s="1878">
        <f ca="1">OFFSET(AH42,0,-1)+1</f>
        <v>3</v>
      </c>
      <c r="AI42" s="2479">
        <f ca="1">OFFSET(AI42,0,-1)+1</f>
        <v>4</v>
      </c>
      <c r="AJ42" s="2479"/>
      <c r="AK42" s="1878">
        <f ca="1">OFFSET(AK42,0,-2)+1</f>
        <v>5</v>
      </c>
      <c r="AL42" s="1172">
        <f ca="1">OFFSET(AL42,0,-1)</f>
        <v>5</v>
      </c>
      <c r="AM42" s="1878">
        <f ca="1">OFFSET(AM42,0,-1)+1</f>
        <v>6</v>
      </c>
      <c r="AN42" s="1563"/>
      <c r="AO42" s="1563"/>
      <c r="AP42" s="1563"/>
      <c r="AQ42" s="1563"/>
      <c r="AR42" s="1563"/>
      <c r="AS42" s="1568">
        <v>0</v>
      </c>
    </row>
    <row r="43" spans="1:45" ht="21.95" customHeight="1">
      <c r="A43" s="1194" t="s">
        <v>219</v>
      </c>
      <c r="B43" s="1194"/>
      <c r="C43" s="1194"/>
      <c r="D43" s="1194"/>
      <c r="E43" s="2504">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124</v>
      </c>
      <c r="U43" s="238"/>
      <c r="V43" s="2462"/>
      <c r="W43" s="2463"/>
      <c r="X43" s="2463"/>
      <c r="Y43" s="2463"/>
      <c r="Z43" s="2463"/>
      <c r="AA43" s="2463"/>
      <c r="AB43" s="2463"/>
      <c r="AC43" s="2464"/>
      <c r="AD43" s="2462" t="str">
        <f>INDEX(PT_DIFFERENTIATION_NTAR,MATCH(A43,PT_DIFFERENTIATION_NTAR_ID,0))</f>
        <v/>
      </c>
      <c r="AE43" s="2463"/>
      <c r="AF43" s="2463"/>
      <c r="AG43" s="2463"/>
      <c r="AH43" s="2463"/>
      <c r="AI43" s="2463"/>
      <c r="AJ43" s="2463"/>
      <c r="AK43" s="2463"/>
      <c r="AL43" s="246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219</v>
      </c>
      <c r="B44" s="1194" t="s">
        <v>220</v>
      </c>
      <c r="C44" s="1194"/>
      <c r="D44" s="1194"/>
      <c r="E44" s="2505"/>
      <c r="F44" s="2504">
        <v>1</v>
      </c>
      <c r="G44" s="1194"/>
      <c r="H44" s="1194"/>
      <c r="I44" s="1194"/>
      <c r="J44" s="1194"/>
      <c r="K44" s="1194"/>
      <c r="L44" s="1237"/>
      <c r="M44" s="1537"/>
      <c r="N44" s="1537"/>
      <c r="O44" s="1537"/>
      <c r="P44" s="1862"/>
      <c r="Q44" s="289"/>
      <c r="R44" s="290"/>
      <c r="S44" s="1880" t="str">
        <f>INDEX(PT_DIFFERENTIATION_NUM_TER,MATCH(B44,PT_DIFFERENTIATION_TER_ID,0))</f>
        <v>.</v>
      </c>
      <c r="T44" s="1449" t="s">
        <v>404</v>
      </c>
      <c r="U44" s="238"/>
      <c r="V44" s="2462"/>
      <c r="W44" s="2463"/>
      <c r="X44" s="2463"/>
      <c r="Y44" s="2463"/>
      <c r="Z44" s="2463"/>
      <c r="AA44" s="2463"/>
      <c r="AB44" s="2463"/>
      <c r="AC44" s="2464"/>
      <c r="AD44" s="2462" t="str">
        <f>INDEX(PT_DIFFERENTIATION_TER,MATCH(B44,PT_DIFFERENTIATION_TER_ID,0))</f>
        <v/>
      </c>
      <c r="AE44" s="2463"/>
      <c r="AF44" s="2463"/>
      <c r="AG44" s="2463"/>
      <c r="AH44" s="2463"/>
      <c r="AI44" s="2463"/>
      <c r="AJ44" s="2463"/>
      <c r="AK44" s="2463"/>
      <c r="AL44" s="2464"/>
      <c r="AM44" s="1185" t="s">
        <v>405</v>
      </c>
      <c r="AO44" s="1551"/>
      <c r="AP44" s="1551" t="str">
        <f t="shared" si="1"/>
        <v>Территория действия тарифа</v>
      </c>
      <c r="AQ44" s="1551"/>
      <c r="AR44" s="1551"/>
      <c r="AS44" s="1558">
        <v>21</v>
      </c>
    </row>
    <row r="45" spans="1:45" ht="24" customHeight="1">
      <c r="A45" s="1194" t="s">
        <v>219</v>
      </c>
      <c r="B45" s="1194" t="s">
        <v>220</v>
      </c>
      <c r="C45" s="1194" t="s">
        <v>221</v>
      </c>
      <c r="D45" s="1194"/>
      <c r="E45" s="2505"/>
      <c r="F45" s="2505"/>
      <c r="G45" s="2504">
        <v>1</v>
      </c>
      <c r="H45" s="1194"/>
      <c r="I45" s="1194"/>
      <c r="J45" s="1194"/>
      <c r="K45" s="1194"/>
      <c r="L45" s="1237"/>
      <c r="M45" s="1537"/>
      <c r="N45" s="1537"/>
      <c r="O45" s="1537"/>
      <c r="P45" s="291"/>
      <c r="Q45" s="289"/>
      <c r="R45" s="290"/>
      <c r="S45" s="1880" t="str">
        <f>INDEX(PT_DIFFERENTIATION_NUM_CS,MATCH(C45,PT_DIFFERENTIATION_CS_ID,0))</f>
        <v>..</v>
      </c>
      <c r="T45" s="247" t="s">
        <v>406</v>
      </c>
      <c r="U45" s="238"/>
      <c r="V45" s="2462"/>
      <c r="W45" s="2463"/>
      <c r="X45" s="2463"/>
      <c r="Y45" s="2463"/>
      <c r="Z45" s="2463"/>
      <c r="AA45" s="2463"/>
      <c r="AB45" s="2463"/>
      <c r="AC45" s="2464"/>
      <c r="AD45" s="2462" t="str">
        <f>INDEX(PT_DIFFERENTIATION_CS,MATCH(C45,PT_DIFFERENTIATION_CS_ID,0))</f>
        <v/>
      </c>
      <c r="AE45" s="2463"/>
      <c r="AF45" s="2463"/>
      <c r="AG45" s="2463"/>
      <c r="AH45" s="2463"/>
      <c r="AI45" s="2463"/>
      <c r="AJ45" s="2463"/>
      <c r="AK45" s="2463"/>
      <c r="AL45" s="2464"/>
      <c r="AM45" s="1185" t="s">
        <v>407</v>
      </c>
      <c r="AO45" s="1551"/>
      <c r="AP45" s="1551" t="str">
        <f t="shared" si="1"/>
        <v xml:space="preserve">Наименование системы теплоснабжения </v>
      </c>
      <c r="AQ45" s="1551"/>
      <c r="AR45" s="1551"/>
      <c r="AS45" s="1558">
        <v>23</v>
      </c>
    </row>
    <row r="46" spans="1:45" ht="21.95" customHeight="1">
      <c r="A46" s="1194" t="s">
        <v>219</v>
      </c>
      <c r="B46" s="1194" t="s">
        <v>220</v>
      </c>
      <c r="C46" s="1194" t="s">
        <v>221</v>
      </c>
      <c r="D46" s="1194" t="s">
        <v>222</v>
      </c>
      <c r="E46" s="2505"/>
      <c r="F46" s="2505"/>
      <c r="G46" s="2505"/>
      <c r="H46" s="2504">
        <v>1</v>
      </c>
      <c r="I46" s="1194"/>
      <c r="J46" s="1194"/>
      <c r="K46" s="1194"/>
      <c r="L46" s="1237"/>
      <c r="M46" s="1537"/>
      <c r="N46" s="1537"/>
      <c r="O46" s="1537"/>
      <c r="P46" s="291"/>
      <c r="Q46" s="289"/>
      <c r="R46" s="290"/>
      <c r="S46" s="1880" t="str">
        <f>INDEX(PT_DIFFERENTIATION_NUM_IST_TE,MATCH(D46,PT_DIFFERENTIATION_IST_TE_ID,0))</f>
        <v>...</v>
      </c>
      <c r="T46" s="248" t="s">
        <v>408</v>
      </c>
      <c r="U46" s="238"/>
      <c r="V46" s="2462"/>
      <c r="W46" s="2463"/>
      <c r="X46" s="2463"/>
      <c r="Y46" s="2463"/>
      <c r="Z46" s="2463"/>
      <c r="AA46" s="2463"/>
      <c r="AB46" s="2463"/>
      <c r="AC46" s="2464"/>
      <c r="AD46" s="2462" t="str">
        <f>INDEX(PT_DIFFERENTIATION_IST_TE,MATCH(D46,PT_DIFFERENTIATION_IST_TE_ID,0))</f>
        <v/>
      </c>
      <c r="AE46" s="2463"/>
      <c r="AF46" s="2463"/>
      <c r="AG46" s="2463"/>
      <c r="AH46" s="2463"/>
      <c r="AI46" s="2463"/>
      <c r="AJ46" s="2463"/>
      <c r="AK46" s="2463"/>
      <c r="AL46" s="2464"/>
      <c r="AM46" s="1185" t="s">
        <v>409</v>
      </c>
      <c r="AO46" s="1551"/>
      <c r="AP46" s="1551" t="str">
        <f t="shared" si="1"/>
        <v xml:space="preserve">Источник тепловой энергии  </v>
      </c>
      <c r="AQ46" s="1551"/>
      <c r="AR46" s="1551"/>
      <c r="AS46" s="1558">
        <v>21</v>
      </c>
    </row>
    <row r="47" spans="1:45" ht="49.5" customHeight="1">
      <c r="A47" s="1194" t="s">
        <v>219</v>
      </c>
      <c r="B47" s="1194" t="s">
        <v>220</v>
      </c>
      <c r="C47" s="1194" t="s">
        <v>221</v>
      </c>
      <c r="D47" s="1194" t="s">
        <v>222</v>
      </c>
      <c r="E47" s="2505"/>
      <c r="F47" s="2505"/>
      <c r="G47" s="2505"/>
      <c r="H47" s="2505"/>
      <c r="I47" s="2332" t="str">
        <f>S46&amp;".1"</f>
        <v>....1</v>
      </c>
      <c r="J47" s="1194"/>
      <c r="K47" s="1194"/>
      <c r="L47" s="1237" t="s">
        <v>410</v>
      </c>
      <c r="P47" s="2472">
        <v>1</v>
      </c>
      <c r="Q47" s="1876"/>
      <c r="R47" s="293"/>
      <c r="S47" s="1880" t="str">
        <f>$I47</f>
        <v>....1</v>
      </c>
      <c r="T47" s="223" t="s">
        <v>411</v>
      </c>
      <c r="U47" s="238"/>
      <c r="V47" s="2456"/>
      <c r="W47" s="2457"/>
      <c r="X47" s="2457"/>
      <c r="Y47" s="2457"/>
      <c r="Z47" s="2457"/>
      <c r="AA47" s="2457"/>
      <c r="AB47" s="2457"/>
      <c r="AC47" s="2458"/>
      <c r="AD47" s="2456"/>
      <c r="AE47" s="2457"/>
      <c r="AF47" s="2457"/>
      <c r="AG47" s="2457"/>
      <c r="AH47" s="2457"/>
      <c r="AI47" s="2457"/>
      <c r="AJ47" s="2457"/>
      <c r="AK47" s="2457"/>
      <c r="AL47" s="2458"/>
      <c r="AM47" s="1185" t="s">
        <v>412</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219</v>
      </c>
      <c r="B48" s="1194" t="s">
        <v>220</v>
      </c>
      <c r="C48" s="1194" t="s">
        <v>221</v>
      </c>
      <c r="D48" s="1194" t="s">
        <v>222</v>
      </c>
      <c r="E48" s="2505"/>
      <c r="F48" s="2505"/>
      <c r="G48" s="2505"/>
      <c r="H48" s="2505"/>
      <c r="I48" s="2314"/>
      <c r="J48" s="2332" t="str">
        <f>I47&amp;".1"</f>
        <v>....1.1</v>
      </c>
      <c r="K48" s="1194"/>
      <c r="L48" s="1237" t="s">
        <v>413</v>
      </c>
      <c r="P48" s="2472"/>
      <c r="Q48" s="2472">
        <v>1</v>
      </c>
      <c r="R48" s="294"/>
      <c r="S48" s="1880" t="str">
        <f>$J48</f>
        <v>....1.1</v>
      </c>
      <c r="T48" s="224" t="s">
        <v>414</v>
      </c>
      <c r="U48" s="238"/>
      <c r="V48" s="2456"/>
      <c r="W48" s="2457"/>
      <c r="X48" s="2457"/>
      <c r="Y48" s="2457"/>
      <c r="Z48" s="2457"/>
      <c r="AA48" s="2457"/>
      <c r="AB48" s="2457"/>
      <c r="AC48" s="2458"/>
      <c r="AD48" s="2456"/>
      <c r="AE48" s="2457"/>
      <c r="AF48" s="2457"/>
      <c r="AG48" s="2457"/>
      <c r="AH48" s="2457"/>
      <c r="AI48" s="2457"/>
      <c r="AJ48" s="2457"/>
      <c r="AK48" s="2457"/>
      <c r="AL48" s="2458"/>
      <c r="AM48" s="1185" t="s">
        <v>415</v>
      </c>
      <c r="AO48" s="1551"/>
      <c r="AP48" s="1551" t="str">
        <f t="shared" si="1"/>
        <v>Группа потребителей</v>
      </c>
      <c r="AQ48" s="1551"/>
      <c r="AR48" s="1551"/>
      <c r="AS48" s="1558">
        <v>21</v>
      </c>
    </row>
    <row r="49" spans="1:45" ht="21.95" customHeight="1">
      <c r="A49" s="1194" t="s">
        <v>219</v>
      </c>
      <c r="B49" s="1194" t="s">
        <v>220</v>
      </c>
      <c r="C49" s="1194" t="s">
        <v>221</v>
      </c>
      <c r="D49" s="1194" t="s">
        <v>222</v>
      </c>
      <c r="E49" s="2505"/>
      <c r="F49" s="2505"/>
      <c r="G49" s="2505"/>
      <c r="H49" s="2505"/>
      <c r="I49" s="2314"/>
      <c r="J49" s="2314"/>
      <c r="K49" s="2332" t="str">
        <f>J48&amp;".1"</f>
        <v>....1.1.1</v>
      </c>
      <c r="L49" s="1237" t="s">
        <v>416</v>
      </c>
      <c r="P49" s="2472"/>
      <c r="Q49" s="2472"/>
      <c r="R49" s="294">
        <v>1</v>
      </c>
      <c r="S49" s="1880" t="str">
        <f>$K49</f>
        <v>....1.1.1</v>
      </c>
      <c r="T49" s="1274"/>
      <c r="U49" s="238"/>
      <c r="V49" s="688"/>
      <c r="W49" s="263"/>
      <c r="X49" s="688"/>
      <c r="Y49" s="1184"/>
      <c r="Z49" s="2473"/>
      <c r="AA49" s="2342" t="s">
        <v>67</v>
      </c>
      <c r="AB49" s="2473"/>
      <c r="AC49" s="2342" t="s">
        <v>67</v>
      </c>
      <c r="AD49" s="688"/>
      <c r="AE49" s="263"/>
      <c r="AF49" s="688"/>
      <c r="AG49" s="1184"/>
      <c r="AH49" s="2473"/>
      <c r="AI49" s="2342" t="s">
        <v>67</v>
      </c>
      <c r="AJ49" s="2475"/>
      <c r="AK49" s="2342" t="s">
        <v>67</v>
      </c>
      <c r="AL49" s="1275"/>
      <c r="AM49" s="2491" t="s">
        <v>417</v>
      </c>
      <c r="AN49" s="1563" t="e">
        <f ca="1">STRCHECKDATE(V50:AL50)</f>
        <v>#NAME?</v>
      </c>
      <c r="AO49" s="1551"/>
      <c r="AP49" s="1551" t="str">
        <f t="shared" si="1"/>
        <v/>
      </c>
      <c r="AQ49" s="1551"/>
      <c r="AR49" s="1551"/>
      <c r="AS49" s="1558">
        <v>21</v>
      </c>
    </row>
    <row r="50" spans="1:45" ht="1.1499999999999999" customHeight="1">
      <c r="A50" s="1194" t="s">
        <v>219</v>
      </c>
      <c r="B50" s="1194" t="s">
        <v>220</v>
      </c>
      <c r="C50" s="1194" t="s">
        <v>221</v>
      </c>
      <c r="D50" s="1194" t="s">
        <v>222</v>
      </c>
      <c r="E50" s="2505"/>
      <c r="F50" s="2505"/>
      <c r="G50" s="2505"/>
      <c r="H50" s="2505"/>
      <c r="I50" s="2314"/>
      <c r="J50" s="2314"/>
      <c r="K50" s="2332"/>
      <c r="L50" s="1237"/>
      <c r="P50" s="2472"/>
      <c r="Q50" s="2472"/>
      <c r="R50" s="294"/>
      <c r="S50" s="1889"/>
      <c r="T50" s="238"/>
      <c r="U50" s="238"/>
      <c r="V50" s="263"/>
      <c r="W50" s="263"/>
      <c r="X50" s="263"/>
      <c r="Y50" s="266" t="str">
        <f>Z49&amp;"-"&amp;AB49</f>
        <v>-</v>
      </c>
      <c r="Z50" s="2474"/>
      <c r="AA50" s="2342"/>
      <c r="AB50" s="2474"/>
      <c r="AC50" s="2342"/>
      <c r="AD50" s="263"/>
      <c r="AE50" s="263"/>
      <c r="AF50" s="263"/>
      <c r="AG50" s="266" t="str">
        <f>AH49&amp;"-"&amp;AJ49</f>
        <v>-</v>
      </c>
      <c r="AH50" s="2474"/>
      <c r="AI50" s="2342"/>
      <c r="AJ50" s="2476"/>
      <c r="AK50" s="2342"/>
      <c r="AL50" s="1276"/>
      <c r="AM50" s="2492"/>
      <c r="AO50" s="1551"/>
      <c r="AP50" s="1551" t="str">
        <f t="shared" si="1"/>
        <v/>
      </c>
      <c r="AQ50" s="1551"/>
      <c r="AR50" s="1551"/>
      <c r="AS50" s="1558">
        <v>1</v>
      </c>
    </row>
    <row r="51" spans="1:45" ht="11.45" customHeight="1">
      <c r="A51" s="1194" t="s">
        <v>219</v>
      </c>
      <c r="B51" s="1194" t="s">
        <v>220</v>
      </c>
      <c r="C51" s="1194" t="s">
        <v>221</v>
      </c>
      <c r="D51" s="1194" t="s">
        <v>222</v>
      </c>
      <c r="E51" s="2505"/>
      <c r="F51" s="2505"/>
      <c r="G51" s="2505"/>
      <c r="H51" s="2505"/>
      <c r="I51" s="2314"/>
      <c r="J51" s="2332"/>
      <c r="K51" s="1194"/>
      <c r="L51" s="1237"/>
      <c r="P51" s="2472"/>
      <c r="Q51" s="2472"/>
      <c r="R51" s="293"/>
      <c r="S51" s="1205"/>
      <c r="T51" s="226" t="s">
        <v>418</v>
      </c>
      <c r="U51" s="537"/>
      <c r="V51" s="537"/>
      <c r="W51" s="537"/>
      <c r="X51" s="537"/>
      <c r="Y51" s="537"/>
      <c r="Z51" s="537"/>
      <c r="AA51" s="537"/>
      <c r="AB51" s="537"/>
      <c r="AC51" s="537"/>
      <c r="AD51" s="537"/>
      <c r="AE51" s="537"/>
      <c r="AF51" s="537"/>
      <c r="AG51" s="537"/>
      <c r="AH51" s="537"/>
      <c r="AI51" s="537"/>
      <c r="AJ51" s="537"/>
      <c r="AK51" s="537"/>
      <c r="AL51" s="262"/>
      <c r="AM51" s="2493"/>
      <c r="AO51" s="1551"/>
      <c r="AP51" s="1551" t="str">
        <f t="shared" si="1"/>
        <v>Добавить вид теплоносителя (параметры теплоносителя)</v>
      </c>
      <c r="AQ51" s="1551"/>
      <c r="AR51" s="1551"/>
      <c r="AS51" s="1558">
        <v>11</v>
      </c>
    </row>
    <row r="52" spans="1:45" ht="11.45" customHeight="1">
      <c r="A52" s="1194" t="s">
        <v>219</v>
      </c>
      <c r="B52" s="1194" t="s">
        <v>220</v>
      </c>
      <c r="C52" s="1194" t="s">
        <v>221</v>
      </c>
      <c r="D52" s="1194" t="s">
        <v>222</v>
      </c>
      <c r="E52" s="2505"/>
      <c r="F52" s="2505"/>
      <c r="G52" s="2505"/>
      <c r="H52" s="2505"/>
      <c r="I52" s="2332"/>
      <c r="J52" s="1194"/>
      <c r="K52" s="1194"/>
      <c r="L52" s="1237"/>
      <c r="P52" s="2472"/>
      <c r="Q52" s="1876"/>
      <c r="R52" s="293"/>
      <c r="S52" s="1205"/>
      <c r="T52" s="225" t="s">
        <v>419</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219</v>
      </c>
      <c r="B53" s="1194" t="s">
        <v>220</v>
      </c>
      <c r="C53" s="1194" t="s">
        <v>221</v>
      </c>
      <c r="D53" s="1194" t="s">
        <v>222</v>
      </c>
      <c r="E53" s="2505"/>
      <c r="F53" s="2505"/>
      <c r="G53" s="2505"/>
      <c r="H53" s="2504"/>
      <c r="I53" s="1194"/>
      <c r="J53" s="1194"/>
      <c r="K53" s="1194"/>
      <c r="L53" s="1237"/>
      <c r="M53" s="1537"/>
      <c r="N53" s="1537"/>
      <c r="O53" s="1562"/>
      <c r="P53" s="297"/>
      <c r="Q53" s="312"/>
      <c r="R53" s="292"/>
      <c r="S53" s="1205"/>
      <c r="T53" s="302" t="s">
        <v>420</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219</v>
      </c>
      <c r="B54" s="1302" t="s">
        <v>220</v>
      </c>
      <c r="C54" s="1302" t="s">
        <v>221</v>
      </c>
      <c r="D54" s="1301"/>
      <c r="E54" s="2505"/>
      <c r="F54" s="2505"/>
      <c r="G54" s="2504"/>
      <c r="H54" s="1301"/>
      <c r="I54" s="1301"/>
      <c r="J54" s="1301"/>
      <c r="K54" s="1301"/>
      <c r="L54" s="1304"/>
      <c r="M54" s="1305"/>
      <c r="N54" s="1305"/>
      <c r="O54" s="288"/>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219</v>
      </c>
      <c r="B55" s="1302" t="s">
        <v>220</v>
      </c>
      <c r="C55" s="1301"/>
      <c r="D55" s="1301"/>
      <c r="E55" s="2505"/>
      <c r="F55" s="2504"/>
      <c r="G55" s="1301"/>
      <c r="H55" s="1301"/>
      <c r="I55" s="1301"/>
      <c r="J55" s="1301"/>
      <c r="K55" s="1301"/>
      <c r="L55" s="1304"/>
      <c r="M55" s="1306"/>
      <c r="N55" s="1306"/>
      <c r="O55" s="28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219</v>
      </c>
      <c r="B56" s="1302"/>
      <c r="C56" s="1302"/>
      <c r="D56" s="1302"/>
      <c r="E56" s="2504"/>
      <c r="F56" s="1302"/>
      <c r="G56" s="1302"/>
      <c r="H56" s="1302"/>
      <c r="I56" s="1302"/>
      <c r="J56" s="1302"/>
      <c r="K56" s="1302"/>
      <c r="L56" s="1308"/>
      <c r="M56" s="1306"/>
      <c r="N56" s="1306"/>
      <c r="O56" s="288"/>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467"/>
      <c r="U59" s="2467"/>
      <c r="V59" s="2467"/>
      <c r="W59" s="2467"/>
      <c r="X59" s="2467"/>
      <c r="Y59" s="2467"/>
      <c r="Z59" s="2467"/>
      <c r="AA59" s="2467"/>
      <c r="AB59" s="2467"/>
      <c r="AC59" s="2467"/>
      <c r="AD59" s="2467"/>
      <c r="AE59" s="2467"/>
      <c r="AF59" s="2467"/>
      <c r="AG59" s="2467"/>
      <c r="AH59" s="2467"/>
      <c r="AI59" s="2467"/>
      <c r="AJ59" s="2467"/>
      <c r="AK59" s="2467"/>
      <c r="AL59" s="2467"/>
      <c r="AM59" s="2467"/>
      <c r="AS59" s="1558">
        <v>27</v>
      </c>
    </row>
    <row r="60" spans="1:45" ht="65.25" customHeight="1">
      <c r="O60" s="1562"/>
      <c r="T60" s="2467"/>
      <c r="U60" s="2467"/>
      <c r="V60" s="2467"/>
      <c r="W60" s="2467"/>
      <c r="X60" s="2467"/>
      <c r="Y60" s="2467"/>
      <c r="Z60" s="2467"/>
      <c r="AA60" s="2467"/>
      <c r="AB60" s="2467"/>
      <c r="AC60" s="2467"/>
      <c r="AD60" s="2467"/>
      <c r="AE60" s="2467"/>
      <c r="AF60" s="2467"/>
      <c r="AG60" s="2467"/>
      <c r="AH60" s="2467"/>
      <c r="AI60" s="2467"/>
      <c r="AJ60" s="2467"/>
      <c r="AK60" s="2467"/>
      <c r="AL60" s="2467"/>
      <c r="AM60" s="2467"/>
      <c r="AS60" s="1558">
        <v>62</v>
      </c>
    </row>
    <row r="61" spans="1:45" ht="14.65" customHeight="1">
      <c r="O61" s="1562"/>
      <c r="AS61" s="1558">
        <v>14</v>
      </c>
    </row>
    <row r="62" spans="1:45" ht="18.75" customHeight="1">
      <c r="O62" s="1562"/>
      <c r="S62" s="1180"/>
      <c r="T62" s="2467"/>
      <c r="U62" s="2467"/>
      <c r="V62" s="2467"/>
      <c r="W62" s="2467"/>
      <c r="X62" s="2467"/>
      <c r="Y62" s="2467"/>
      <c r="Z62" s="2467"/>
      <c r="AA62" s="2467"/>
      <c r="AB62" s="2467"/>
      <c r="AC62" s="2467"/>
      <c r="AD62" s="2467"/>
      <c r="AE62" s="2467"/>
      <c r="AF62" s="2467"/>
      <c r="AG62" s="2467"/>
      <c r="AH62" s="2467"/>
      <c r="AI62" s="2467"/>
      <c r="AJ62" s="2467"/>
      <c r="AK62" s="2467"/>
      <c r="AL62" s="2467"/>
      <c r="AM62" s="2467"/>
      <c r="AS62" s="1558">
        <v>18</v>
      </c>
    </row>
    <row r="63" spans="1:45" ht="18.75" customHeight="1">
      <c r="O63" s="1562"/>
      <c r="T63" s="2467"/>
      <c r="U63" s="2467"/>
      <c r="V63" s="2467"/>
      <c r="W63" s="2467"/>
      <c r="X63" s="2467"/>
      <c r="Y63" s="2467"/>
      <c r="Z63" s="2467"/>
      <c r="AA63" s="2467"/>
      <c r="AB63" s="2467"/>
      <c r="AC63" s="2467"/>
      <c r="AD63" s="2467"/>
      <c r="AE63" s="2467"/>
      <c r="AF63" s="2467"/>
      <c r="AG63" s="2467"/>
      <c r="AH63" s="2467"/>
      <c r="AI63" s="2467"/>
      <c r="AJ63" s="2467"/>
      <c r="AK63" s="2467"/>
      <c r="AL63" s="2467"/>
      <c r="AM63" s="2467"/>
      <c r="AS63" s="1558">
        <v>18</v>
      </c>
    </row>
    <row r="64" spans="1:45" ht="29.25" customHeight="1">
      <c r="O64" s="1562"/>
      <c r="S64" s="1180"/>
      <c r="T64" s="2467"/>
      <c r="U64" s="2467"/>
      <c r="V64" s="2467"/>
      <c r="W64" s="2467"/>
      <c r="X64" s="2467"/>
      <c r="Y64" s="2467"/>
      <c r="Z64" s="2467"/>
      <c r="AA64" s="2467"/>
      <c r="AB64" s="2467"/>
      <c r="AC64" s="2467"/>
      <c r="AD64" s="2467"/>
      <c r="AE64" s="2467"/>
      <c r="AF64" s="2467"/>
      <c r="AG64" s="2467"/>
      <c r="AH64" s="2467"/>
      <c r="AI64" s="2467"/>
      <c r="AJ64" s="2467"/>
      <c r="AK64" s="2467"/>
      <c r="AL64" s="2467"/>
      <c r="AM64" s="2467"/>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94D9C-46A2-CF9C-CFFE-822D5430CDD2}">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8" hidden="1" customWidth="1"/>
    <col min="15" max="15" width="23.42578125" style="2008" hidden="1" customWidth="1"/>
    <col min="16" max="16" width="3" style="2008" customWidth="1"/>
    <col min="17" max="18" width="3" style="282" customWidth="1"/>
    <col min="19" max="19" width="12" style="2009"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504">
        <v>1</v>
      </c>
      <c r="F2" s="1194"/>
      <c r="G2" s="1194"/>
      <c r="H2" s="1194"/>
      <c r="I2" s="1194"/>
      <c r="J2" s="1194"/>
      <c r="K2" s="1194"/>
      <c r="L2" s="1237"/>
      <c r="M2" s="1537"/>
      <c r="N2" s="1537"/>
      <c r="O2" s="1537"/>
      <c r="P2" s="1517"/>
      <c r="Q2" s="297"/>
      <c r="R2" s="292"/>
      <c r="S2" s="1880" t="e">
        <f>INDEX(PT_DIFFERENTIATION_NUM_NTAR,MATCH(A2,PT_DIFFERENTIATION_NTAR_ID,0))</f>
        <v>#N/A</v>
      </c>
      <c r="T2" s="1452" t="s">
        <v>124</v>
      </c>
      <c r="U2" s="238"/>
      <c r="V2" s="2462"/>
      <c r="W2" s="2463"/>
      <c r="X2" s="2463"/>
      <c r="Y2" s="2463"/>
      <c r="Z2" s="2463"/>
      <c r="AA2" s="2463"/>
      <c r="AB2" s="2463"/>
      <c r="AC2" s="2464"/>
      <c r="AD2" s="2462" t="e">
        <f>INDEX(PT_DIFFERENTIATION_NTAR,MATCH(A2,PT_DIFFERENTIATION_NTAR_ID,0))</f>
        <v>#N/A</v>
      </c>
      <c r="AE2" s="2463"/>
      <c r="AF2" s="2463"/>
      <c r="AG2" s="2463"/>
      <c r="AH2" s="2463"/>
      <c r="AI2" s="2463"/>
      <c r="AJ2" s="2463"/>
      <c r="AK2" s="2463"/>
      <c r="AL2" s="2464"/>
      <c r="AM2" s="1185" t="s">
        <v>403</v>
      </c>
      <c r="AO2" s="1551"/>
      <c r="AP2" s="1551" t="str">
        <f t="shared" ref="AP2:AP15" si="0">IF(T2="","",T2)</f>
        <v>Наименование тарифа</v>
      </c>
      <c r="AQ2" s="1551"/>
      <c r="AR2" s="1551"/>
      <c r="AS2" s="1558">
        <v>0</v>
      </c>
    </row>
    <row r="3" spans="1:45" ht="21" hidden="1" customHeight="1">
      <c r="A3" s="1194"/>
      <c r="B3" s="1194"/>
      <c r="C3" s="1194"/>
      <c r="D3" s="1194"/>
      <c r="E3" s="2505"/>
      <c r="F3" s="2504">
        <v>1</v>
      </c>
      <c r="G3" s="1194"/>
      <c r="H3" s="1194"/>
      <c r="I3" s="1194"/>
      <c r="J3" s="1194"/>
      <c r="K3" s="1194"/>
      <c r="L3" s="1237"/>
      <c r="M3" s="1537"/>
      <c r="N3" s="1537"/>
      <c r="O3" s="1537"/>
      <c r="P3" s="1862"/>
      <c r="Q3" s="289"/>
      <c r="R3" s="290"/>
      <c r="S3" s="1880" t="e">
        <f>INDEX(PT_DIFFERENTIATION_NUM_TER,MATCH(B3,PT_DIFFERENTIATION_TER_ID,0))</f>
        <v>#N/A</v>
      </c>
      <c r="T3" s="1449" t="s">
        <v>404</v>
      </c>
      <c r="U3" s="238"/>
      <c r="V3" s="2462"/>
      <c r="W3" s="2463"/>
      <c r="X3" s="2463"/>
      <c r="Y3" s="2463"/>
      <c r="Z3" s="2463"/>
      <c r="AA3" s="2463"/>
      <c r="AB3" s="2463"/>
      <c r="AC3" s="2464"/>
      <c r="AD3" s="2462" t="e">
        <f>INDEX(PT_DIFFERENTIATION_TER,MATCH(B3,PT_DIFFERENTIATION_TER_ID,0))</f>
        <v>#N/A</v>
      </c>
      <c r="AE3" s="2463"/>
      <c r="AF3" s="2463"/>
      <c r="AG3" s="2463"/>
      <c r="AH3" s="2463"/>
      <c r="AI3" s="2463"/>
      <c r="AJ3" s="2463"/>
      <c r="AK3" s="2463"/>
      <c r="AL3" s="2464"/>
      <c r="AM3" s="1185" t="s">
        <v>405</v>
      </c>
      <c r="AO3" s="1551"/>
      <c r="AP3" s="1551" t="str">
        <f t="shared" si="0"/>
        <v>Территория действия тарифа</v>
      </c>
      <c r="AQ3" s="1551"/>
      <c r="AR3" s="1551"/>
      <c r="AS3" s="1558">
        <v>0</v>
      </c>
    </row>
    <row r="4" spans="1:45" ht="23.25" hidden="1" customHeight="1">
      <c r="A4" s="1194"/>
      <c r="B4" s="1194"/>
      <c r="C4" s="1194"/>
      <c r="D4" s="1194"/>
      <c r="E4" s="2505"/>
      <c r="F4" s="2505"/>
      <c r="G4" s="2504">
        <v>1</v>
      </c>
      <c r="H4" s="1194"/>
      <c r="I4" s="1194"/>
      <c r="J4" s="1194"/>
      <c r="K4" s="1194"/>
      <c r="L4" s="1237"/>
      <c r="M4" s="1537"/>
      <c r="N4" s="1537"/>
      <c r="O4" s="1537"/>
      <c r="P4" s="291"/>
      <c r="Q4" s="289"/>
      <c r="R4" s="290"/>
      <c r="S4" s="1880" t="e">
        <f>INDEX(PT_DIFFERENTIATION_NUM_CS,MATCH(C4,PT_DIFFERENTIATION_CS_ID,0))</f>
        <v>#N/A</v>
      </c>
      <c r="T4" s="247" t="s">
        <v>406</v>
      </c>
      <c r="U4" s="238"/>
      <c r="V4" s="2462"/>
      <c r="W4" s="2463"/>
      <c r="X4" s="2463"/>
      <c r="Y4" s="2463"/>
      <c r="Z4" s="2463"/>
      <c r="AA4" s="2463"/>
      <c r="AB4" s="2463"/>
      <c r="AC4" s="2464"/>
      <c r="AD4" s="2462" t="e">
        <f>INDEX(PT_DIFFERENTIATION_CS,MATCH(C4,PT_DIFFERENTIATION_CS_ID,0))</f>
        <v>#N/A</v>
      </c>
      <c r="AE4" s="2463"/>
      <c r="AF4" s="2463"/>
      <c r="AG4" s="2463"/>
      <c r="AH4" s="2463"/>
      <c r="AI4" s="2463"/>
      <c r="AJ4" s="2463"/>
      <c r="AK4" s="2463"/>
      <c r="AL4" s="2464"/>
      <c r="AM4" s="1185" t="s">
        <v>407</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505"/>
      <c r="F5" s="2505"/>
      <c r="G5" s="2505"/>
      <c r="H5" s="2504">
        <v>1</v>
      </c>
      <c r="I5" s="1194"/>
      <c r="J5" s="1194"/>
      <c r="K5" s="1194"/>
      <c r="L5" s="1237"/>
      <c r="M5" s="1537"/>
      <c r="N5" s="1537"/>
      <c r="O5" s="1537"/>
      <c r="P5" s="291"/>
      <c r="Q5" s="289"/>
      <c r="R5" s="290"/>
      <c r="S5" s="1880" t="e">
        <f>INDEX(PT_DIFFERENTIATION_NUM_IST_TE,MATCH(D5,PT_DIFFERENTIATION_IST_TE_ID,0))</f>
        <v>#N/A</v>
      </c>
      <c r="T5" s="248" t="s">
        <v>408</v>
      </c>
      <c r="U5" s="238"/>
      <c r="V5" s="2462"/>
      <c r="W5" s="2463"/>
      <c r="X5" s="2463"/>
      <c r="Y5" s="2463"/>
      <c r="Z5" s="2463"/>
      <c r="AA5" s="2463"/>
      <c r="AB5" s="2463"/>
      <c r="AC5" s="2464"/>
      <c r="AD5" s="2462" t="e">
        <f>INDEX(PT_DIFFERENTIATION_IST_TE,MATCH(D5,PT_DIFFERENTIATION_IST_TE_ID,0))</f>
        <v>#N/A</v>
      </c>
      <c r="AE5" s="2463"/>
      <c r="AF5" s="2463"/>
      <c r="AG5" s="2463"/>
      <c r="AH5" s="2463"/>
      <c r="AI5" s="2463"/>
      <c r="AJ5" s="2463"/>
      <c r="AK5" s="2463"/>
      <c r="AL5" s="2464"/>
      <c r="AM5" s="1185" t="s">
        <v>409</v>
      </c>
      <c r="AO5" s="1551"/>
      <c r="AP5" s="1551" t="str">
        <f t="shared" si="0"/>
        <v xml:space="preserve">Источник тепловой энергии  </v>
      </c>
      <c r="AQ5" s="1551"/>
      <c r="AR5" s="1551"/>
      <c r="AS5" s="1558">
        <v>0</v>
      </c>
    </row>
    <row r="6" spans="1:45" ht="47.25" hidden="1" customHeight="1">
      <c r="A6" s="1194"/>
      <c r="B6" s="1194"/>
      <c r="C6" s="1194"/>
      <c r="D6" s="1194"/>
      <c r="E6" s="2505"/>
      <c r="F6" s="2505"/>
      <c r="G6" s="2505"/>
      <c r="H6" s="2505"/>
      <c r="I6" s="2332" t="e">
        <f>S5&amp;".1"</f>
        <v>#N/A</v>
      </c>
      <c r="J6" s="1194"/>
      <c r="K6" s="1194"/>
      <c r="L6" s="1237" t="s">
        <v>410</v>
      </c>
      <c r="M6" s="1562"/>
      <c r="P6" s="2472">
        <v>1</v>
      </c>
      <c r="Q6" s="1876"/>
      <c r="R6" s="293"/>
      <c r="S6" s="1880" t="e">
        <f>$I6</f>
        <v>#N/A</v>
      </c>
      <c r="T6" s="223" t="s">
        <v>411</v>
      </c>
      <c r="U6" s="238"/>
      <c r="V6" s="2456"/>
      <c r="W6" s="2457"/>
      <c r="X6" s="2457"/>
      <c r="Y6" s="2457"/>
      <c r="Z6" s="2457"/>
      <c r="AA6" s="2457"/>
      <c r="AB6" s="2457"/>
      <c r="AC6" s="2458"/>
      <c r="AD6" s="2456"/>
      <c r="AE6" s="2457"/>
      <c r="AF6" s="2457"/>
      <c r="AG6" s="2457"/>
      <c r="AH6" s="2457"/>
      <c r="AI6" s="2457"/>
      <c r="AJ6" s="2457"/>
      <c r="AK6" s="2457"/>
      <c r="AL6" s="2458"/>
      <c r="AM6" s="1185" t="s">
        <v>412</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505"/>
      <c r="F7" s="2505"/>
      <c r="G7" s="2505"/>
      <c r="H7" s="2505"/>
      <c r="I7" s="2314"/>
      <c r="J7" s="2332" t="e">
        <f>I6&amp;".1"</f>
        <v>#N/A</v>
      </c>
      <c r="K7" s="1194"/>
      <c r="L7" s="1237" t="s">
        <v>413</v>
      </c>
      <c r="M7" s="1562"/>
      <c r="N7" s="1558"/>
      <c r="P7" s="2472"/>
      <c r="Q7" s="2472">
        <v>1</v>
      </c>
      <c r="R7" s="294"/>
      <c r="S7" s="1880" t="e">
        <f>$J7</f>
        <v>#N/A</v>
      </c>
      <c r="T7" s="224" t="s">
        <v>414</v>
      </c>
      <c r="U7" s="238"/>
      <c r="V7" s="2456"/>
      <c r="W7" s="2457"/>
      <c r="X7" s="2457"/>
      <c r="Y7" s="2457"/>
      <c r="Z7" s="2457"/>
      <c r="AA7" s="2457"/>
      <c r="AB7" s="2457"/>
      <c r="AC7" s="2458"/>
      <c r="AD7" s="2456"/>
      <c r="AE7" s="2457"/>
      <c r="AF7" s="2457"/>
      <c r="AG7" s="2457"/>
      <c r="AH7" s="2457"/>
      <c r="AI7" s="2457"/>
      <c r="AJ7" s="2457"/>
      <c r="AK7" s="2457"/>
      <c r="AL7" s="2458"/>
      <c r="AM7" s="1185" t="s">
        <v>415</v>
      </c>
      <c r="AO7" s="1551"/>
      <c r="AP7" s="1551" t="str">
        <f t="shared" si="0"/>
        <v>Группа потребителей</v>
      </c>
      <c r="AQ7" s="1551"/>
      <c r="AR7" s="1551"/>
      <c r="AS7" s="1558">
        <v>0</v>
      </c>
    </row>
    <row r="8" spans="1:45" ht="21" hidden="1" customHeight="1">
      <c r="A8" s="1194"/>
      <c r="B8" s="1194"/>
      <c r="C8" s="1194"/>
      <c r="D8" s="1194"/>
      <c r="E8" s="2505"/>
      <c r="F8" s="2505"/>
      <c r="G8" s="2505"/>
      <c r="H8" s="2505"/>
      <c r="I8" s="2314"/>
      <c r="J8" s="2314"/>
      <c r="K8" s="2332" t="e">
        <f>J7&amp;".1"</f>
        <v>#N/A</v>
      </c>
      <c r="L8" s="1237" t="s">
        <v>416</v>
      </c>
      <c r="M8" s="1562"/>
      <c r="N8" s="1558"/>
      <c r="O8" s="1558"/>
      <c r="P8" s="2472"/>
      <c r="Q8" s="2472"/>
      <c r="R8" s="294">
        <v>1</v>
      </c>
      <c r="S8" s="1880" t="e">
        <f>$K8</f>
        <v>#N/A</v>
      </c>
      <c r="T8" s="1274"/>
      <c r="U8" s="238"/>
      <c r="V8" s="688"/>
      <c r="W8" s="263"/>
      <c r="X8" s="688"/>
      <c r="Y8" s="1184"/>
      <c r="Z8" s="2473"/>
      <c r="AA8" s="2342" t="s">
        <v>67</v>
      </c>
      <c r="AB8" s="2473"/>
      <c r="AC8" s="2342" t="s">
        <v>67</v>
      </c>
      <c r="AD8" s="688"/>
      <c r="AE8" s="263"/>
      <c r="AF8" s="688"/>
      <c r="AG8" s="1184"/>
      <c r="AH8" s="2473"/>
      <c r="AI8" s="2342" t="s">
        <v>67</v>
      </c>
      <c r="AJ8" s="2473"/>
      <c r="AK8" s="2342" t="s">
        <v>67</v>
      </c>
      <c r="AL8" s="263"/>
      <c r="AM8" s="2491" t="s">
        <v>417</v>
      </c>
      <c r="AN8" s="1563" t="e">
        <f ca="1">STRCHECKDATE(V9:AL9)</f>
        <v>#NAME?</v>
      </c>
      <c r="AO8" s="1551"/>
      <c r="AP8" s="1551" t="str">
        <f t="shared" si="0"/>
        <v/>
      </c>
      <c r="AQ8" s="1551"/>
      <c r="AR8" s="1551"/>
      <c r="AS8" s="1558">
        <v>0</v>
      </c>
    </row>
    <row r="9" spans="1:45" ht="0.75" hidden="1" customHeight="1">
      <c r="A9" s="1194"/>
      <c r="B9" s="1194"/>
      <c r="C9" s="1194"/>
      <c r="D9" s="1194"/>
      <c r="E9" s="2505"/>
      <c r="F9" s="2505"/>
      <c r="G9" s="2505"/>
      <c r="H9" s="2505"/>
      <c r="I9" s="2314"/>
      <c r="J9" s="2314"/>
      <c r="K9" s="2332"/>
      <c r="L9" s="1237"/>
      <c r="M9" s="1562"/>
      <c r="N9" s="1558"/>
      <c r="O9" s="1558"/>
      <c r="P9" s="2472"/>
      <c r="Q9" s="2472"/>
      <c r="R9" s="294"/>
      <c r="S9" s="1889"/>
      <c r="T9" s="238"/>
      <c r="U9" s="238"/>
      <c r="V9" s="263"/>
      <c r="W9" s="263"/>
      <c r="X9" s="263"/>
      <c r="Y9" s="266" t="str">
        <f>Z8&amp;"-"&amp;AB8</f>
        <v>-</v>
      </c>
      <c r="Z9" s="2474"/>
      <c r="AA9" s="2342"/>
      <c r="AB9" s="2474"/>
      <c r="AC9" s="2342"/>
      <c r="AD9" s="263"/>
      <c r="AE9" s="263"/>
      <c r="AF9" s="263"/>
      <c r="AG9" s="266" t="str">
        <f>AH8&amp;"-"&amp;AJ8</f>
        <v>-</v>
      </c>
      <c r="AH9" s="2474"/>
      <c r="AI9" s="2342"/>
      <c r="AJ9" s="2474"/>
      <c r="AK9" s="2342"/>
      <c r="AL9" s="263"/>
      <c r="AM9" s="2492"/>
      <c r="AO9" s="1551"/>
      <c r="AP9" s="1551" t="str">
        <f t="shared" si="0"/>
        <v/>
      </c>
      <c r="AQ9" s="1551"/>
      <c r="AR9" s="1551"/>
      <c r="AS9" s="1558">
        <v>0</v>
      </c>
    </row>
    <row r="10" spans="1:45" ht="15" hidden="1" customHeight="1">
      <c r="A10" s="1194"/>
      <c r="B10" s="1194"/>
      <c r="C10" s="1194"/>
      <c r="D10" s="1194"/>
      <c r="E10" s="2505"/>
      <c r="F10" s="2505"/>
      <c r="G10" s="2505"/>
      <c r="H10" s="2505"/>
      <c r="I10" s="2314"/>
      <c r="J10" s="2332"/>
      <c r="K10" s="1194"/>
      <c r="L10" s="1237"/>
      <c r="M10" s="1562"/>
      <c r="N10" s="1558"/>
      <c r="P10" s="2472"/>
      <c r="Q10" s="2472"/>
      <c r="R10" s="293"/>
      <c r="S10" s="1205"/>
      <c r="T10" s="226" t="s">
        <v>418</v>
      </c>
      <c r="U10" s="537"/>
      <c r="V10" s="537"/>
      <c r="W10" s="537"/>
      <c r="X10" s="537"/>
      <c r="Y10" s="537"/>
      <c r="Z10" s="537"/>
      <c r="AA10" s="537"/>
      <c r="AB10" s="537"/>
      <c r="AC10" s="537"/>
      <c r="AD10" s="537"/>
      <c r="AE10" s="537"/>
      <c r="AF10" s="537"/>
      <c r="AG10" s="537"/>
      <c r="AH10" s="537"/>
      <c r="AI10" s="537"/>
      <c r="AJ10" s="537"/>
      <c r="AK10" s="537"/>
      <c r="AL10" s="262"/>
      <c r="AM10" s="2493"/>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505"/>
      <c r="F11" s="2505"/>
      <c r="G11" s="2505"/>
      <c r="H11" s="2505"/>
      <c r="I11" s="2332"/>
      <c r="J11" s="1194"/>
      <c r="K11" s="1194"/>
      <c r="L11" s="1237"/>
      <c r="M11" s="1562"/>
      <c r="P11" s="2472"/>
      <c r="Q11" s="1876"/>
      <c r="R11" s="293"/>
      <c r="S11" s="1205"/>
      <c r="T11" s="225" t="s">
        <v>419</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505"/>
      <c r="F12" s="2505"/>
      <c r="G12" s="2505"/>
      <c r="H12" s="2504"/>
      <c r="I12" s="1194"/>
      <c r="J12" s="1194"/>
      <c r="K12" s="1194"/>
      <c r="L12" s="1237"/>
      <c r="M12" s="1537"/>
      <c r="N12" s="1537"/>
      <c r="O12" s="1562"/>
      <c r="P12" s="297"/>
      <c r="Q12" s="312"/>
      <c r="R12" s="292"/>
      <c r="S12" s="1205"/>
      <c r="T12" s="302" t="s">
        <v>420</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505"/>
      <c r="F13" s="2505"/>
      <c r="G13" s="2504"/>
      <c r="H13" s="1896"/>
      <c r="I13" s="1896"/>
      <c r="J13" s="1896"/>
      <c r="K13" s="1896"/>
      <c r="L13" s="1307"/>
      <c r="M13" s="1537"/>
      <c r="N13" s="1537"/>
      <c r="O13" s="156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505"/>
      <c r="F14" s="2504"/>
      <c r="G14" s="1896"/>
      <c r="H14" s="1896"/>
      <c r="I14" s="1896"/>
      <c r="J14" s="1896"/>
      <c r="K14" s="1896"/>
      <c r="L14" s="1307"/>
      <c r="M14" s="1897"/>
      <c r="N14" s="1897"/>
      <c r="O14" s="1562"/>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504"/>
      <c r="F15" s="1896"/>
      <c r="G15" s="1896"/>
      <c r="H15" s="1896"/>
      <c r="I15" s="1896"/>
      <c r="J15" s="1896"/>
      <c r="K15" s="1896"/>
      <c r="L15" s="1307"/>
      <c r="M15" s="1897"/>
      <c r="N15" s="1897"/>
      <c r="O15" s="1562"/>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466"/>
      <c r="AI17" s="2465" t="s">
        <v>67</v>
      </c>
      <c r="AJ17" s="2466"/>
      <c r="AK17" s="2465" t="s">
        <v>67</v>
      </c>
      <c r="AS17" s="1558">
        <v>0</v>
      </c>
    </row>
    <row r="18" spans="1:45" ht="14.25" hidden="1" customHeight="1">
      <c r="AD18" s="1287"/>
      <c r="AE18" s="1287"/>
      <c r="AF18" s="1287"/>
      <c r="AG18" s="266" t="str">
        <f>AH17&amp;"-"&amp;AJ17</f>
        <v>-</v>
      </c>
      <c r="AH18" s="2465"/>
      <c r="AI18" s="2465"/>
      <c r="AJ18" s="2465"/>
      <c r="AK18" s="2465"/>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421</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422</v>
      </c>
      <c r="P22" s="1289"/>
      <c r="Q22" s="1298"/>
      <c r="R22" s="1298"/>
      <c r="S22" s="666"/>
      <c r="T22" s="1293" t="s">
        <v>423</v>
      </c>
      <c r="AA22" s="532" t="s">
        <v>424</v>
      </c>
      <c r="AC22" s="532" t="s">
        <v>425</v>
      </c>
      <c r="AD22" s="1293" t="s">
        <v>423</v>
      </c>
      <c r="AI22" s="532" t="s">
        <v>426</v>
      </c>
      <c r="AK22" s="532" t="s">
        <v>425</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4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49"/>
      <c r="U26" s="2449"/>
      <c r="V26" s="2449"/>
      <c r="W26" s="2449"/>
      <c r="X26" s="2449"/>
      <c r="Y26" s="2449"/>
      <c r="Z26" s="2449"/>
      <c r="AA26" s="2449"/>
      <c r="AB26" s="2449"/>
      <c r="AC26" s="2449"/>
      <c r="AD26" s="2449"/>
      <c r="AE26" s="2449"/>
      <c r="AF26" s="2449"/>
      <c r="AG26" s="2449"/>
      <c r="AH26" s="2449"/>
      <c r="AI26" s="2449"/>
      <c r="AJ26" s="2449"/>
      <c r="AK26" s="1170"/>
      <c r="AS26" s="1558">
        <v>14</v>
      </c>
    </row>
    <row r="27" spans="1:45" ht="14.65" customHeight="1">
      <c r="Q27" s="313"/>
      <c r="R27" s="313"/>
      <c r="S27" s="2421" t="str">
        <f>IF(org=0,"Не определено",org)</f>
        <v>МУП "Городские тепловые сети" МО  "город Курчатов"</v>
      </c>
      <c r="T27" s="2421"/>
      <c r="U27" s="2421"/>
      <c r="V27" s="2421"/>
      <c r="W27" s="2421"/>
      <c r="X27" s="2421"/>
      <c r="Y27" s="2421"/>
      <c r="Z27" s="2421"/>
      <c r="AA27" s="2421"/>
      <c r="AB27" s="2421"/>
      <c r="AC27" s="2421"/>
      <c r="AD27" s="2421"/>
      <c r="AE27" s="2421"/>
      <c r="AF27" s="2421"/>
      <c r="AG27" s="2421"/>
      <c r="AH27" s="2421"/>
      <c r="AI27" s="2421"/>
      <c r="AJ27" s="2421"/>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459" t="s">
        <v>42</v>
      </c>
      <c r="T29" s="2459"/>
      <c r="U29" s="1299"/>
      <c r="V29" s="2461" t="str">
        <f>IF(TITLE_NAME_OR_PR_CHANGE="",IF(TITLE_NAME_OR_PR="","",TITLE_NAME_OR_PR),TITLE_NAME_OR_PR_CHANGE)</f>
        <v/>
      </c>
      <c r="W29" s="2461"/>
      <c r="X29" s="2461"/>
      <c r="Y29" s="2461"/>
      <c r="Z29" s="2461"/>
      <c r="AA29" s="2461"/>
      <c r="AB29" s="2461"/>
      <c r="AC29" s="1562"/>
      <c r="AD29" s="2461" t="str">
        <f>IF(TITLE_NAME_OR_PR_CHANGE="",IF(TITLE_NAME_OR_PR="","",TITLE_NAME_OR_PR),TITLE_NAME_OR_PR_CHANGE)</f>
        <v/>
      </c>
      <c r="AE29" s="2461"/>
      <c r="AF29" s="2461"/>
      <c r="AG29" s="2461"/>
      <c r="AH29" s="2461"/>
      <c r="AI29" s="2461"/>
      <c r="AJ29" s="2461"/>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459" t="s">
        <v>427</v>
      </c>
      <c r="T30" s="2459"/>
      <c r="U30" s="1299"/>
      <c r="V30" s="2460">
        <f>IF(TITLE_DATE_PR_CHANGE="",IF(TITLE_DATE_PR="","",TITLE_DATE_PR),TITLE_DATE_PR_CHANGE)</f>
        <v>45775</v>
      </c>
      <c r="W30" s="2460"/>
      <c r="X30" s="2460"/>
      <c r="Y30" s="2460"/>
      <c r="Z30" s="2460"/>
      <c r="AA30" s="2460"/>
      <c r="AB30" s="2460"/>
      <c r="AC30" s="1562"/>
      <c r="AD30" s="2460">
        <f>IF(TITLE_DATE_PR_CHANGE="",IF(TITLE_DATE_PR="","",TITLE_DATE_PR),TITLE_DATE_PR_CHANGE)</f>
        <v>45775</v>
      </c>
      <c r="AE30" s="2460"/>
      <c r="AF30" s="2460"/>
      <c r="AG30" s="2460"/>
      <c r="AH30" s="2460"/>
      <c r="AI30" s="2460"/>
      <c r="AJ30" s="2460"/>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459" t="s">
        <v>428</v>
      </c>
      <c r="T31" s="2459"/>
      <c r="U31" s="1299"/>
      <c r="V31" s="2461" t="str">
        <f>IF(TITLE_NUMBER_PR_CHANGE="",IF(TITLE_NUMBER_PR="","",TITLE_NUMBER_PR),TITLE_NUMBER_PR_CHANGE)</f>
        <v>03.5-1382</v>
      </c>
      <c r="W31" s="2461"/>
      <c r="X31" s="2461"/>
      <c r="Y31" s="2461"/>
      <c r="Z31" s="2461"/>
      <c r="AA31" s="2461"/>
      <c r="AB31" s="2461"/>
      <c r="AC31" s="1562"/>
      <c r="AD31" s="2461" t="str">
        <f>IF(TITLE_NUMBER_PR_CHANGE="",IF(TITLE_NUMBER_PR="","",TITLE_NUMBER_PR),TITLE_NUMBER_PR_CHANGE)</f>
        <v>03.5-1382</v>
      </c>
      <c r="AE31" s="2461"/>
      <c r="AF31" s="2461"/>
      <c r="AG31" s="2461"/>
      <c r="AH31" s="2461"/>
      <c r="AI31" s="2461"/>
      <c r="AJ31" s="2461"/>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459" t="s">
        <v>43</v>
      </c>
      <c r="T32" s="2459"/>
      <c r="U32" s="1299"/>
      <c r="V32" s="2461" t="str">
        <f>IF(TITLE_IST_PUB_CHANGE="",IF(TITLE_IST_PUB="","",TITLE_IST_PUB),TITLE_IST_PUB_CHANGE)</f>
        <v/>
      </c>
      <c r="W32" s="2461"/>
      <c r="X32" s="2461"/>
      <c r="Y32" s="2461"/>
      <c r="Z32" s="2461"/>
      <c r="AA32" s="2461"/>
      <c r="AB32" s="2461"/>
      <c r="AC32" s="1562"/>
      <c r="AD32" s="2461" t="str">
        <f>IF(TITLE_IST_PUB_CHANGE="",IF(TITLE_IST_PUB="","",TITLE_IST_PUB),TITLE_IST_PUB_CHANGE)</f>
        <v/>
      </c>
      <c r="AE32" s="2461"/>
      <c r="AF32" s="2461"/>
      <c r="AG32" s="2461"/>
      <c r="AH32" s="2461"/>
      <c r="AI32" s="2461"/>
      <c r="AJ32" s="2461"/>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459" t="s">
        <v>429</v>
      </c>
      <c r="T34" s="2459"/>
      <c r="U34" s="1299"/>
      <c r="V34" s="2460">
        <f>IF(TITLE_DATE_PR_CHANGE="",IF(TITLE_DATE_PR="","",TITLE_DATE_PR),TITLE_DATE_PR_CHANGE)</f>
        <v>45775</v>
      </c>
      <c r="W34" s="2460"/>
      <c r="X34" s="2460"/>
      <c r="Y34" s="2460"/>
      <c r="Z34" s="2460"/>
      <c r="AA34" s="2460"/>
      <c r="AB34" s="2460"/>
      <c r="AC34" s="1562"/>
      <c r="AD34" s="2460">
        <f>IF(TITLE_DATE_PR_CHANGE="",IF(TITLE_DATE_PR="","",TITLE_DATE_PR),TITLE_DATE_PR_CHANGE)</f>
        <v>45775</v>
      </c>
      <c r="AE34" s="2460"/>
      <c r="AF34" s="2460"/>
      <c r="AG34" s="2460"/>
      <c r="AH34" s="2460"/>
      <c r="AI34" s="2460"/>
      <c r="AJ34" s="2460"/>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459" t="s">
        <v>430</v>
      </c>
      <c r="T35" s="2459"/>
      <c r="U35" s="1299"/>
      <c r="V35" s="2461" t="str">
        <f>IF(TITLE_NUMBER_PR_CHANGE="",IF(TITLE_NUMBER_PR="","",TITLE_NUMBER_PR),TITLE_NUMBER_PR_CHANGE)</f>
        <v>03.5-1382</v>
      </c>
      <c r="W35" s="2461"/>
      <c r="X35" s="2461"/>
      <c r="Y35" s="2461"/>
      <c r="Z35" s="2461"/>
      <c r="AA35" s="2461"/>
      <c r="AB35" s="2461"/>
      <c r="AC35" s="1562"/>
      <c r="AD35" s="2461" t="str">
        <f>IF(TITLE_NUMBER_PR_CHANGE="",IF(TITLE_NUMBER_PR="","",TITLE_NUMBER_PR),TITLE_NUMBER_PR_CHANGE)</f>
        <v>03.5-1382</v>
      </c>
      <c r="AE35" s="2461"/>
      <c r="AF35" s="2461"/>
      <c r="AG35" s="2461"/>
      <c r="AH35" s="2461"/>
      <c r="AI35" s="2461"/>
      <c r="AJ35" s="2461"/>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431</v>
      </c>
      <c r="AD36" s="1562"/>
      <c r="AE36" s="1562"/>
      <c r="AF36" s="1562"/>
      <c r="AG36" s="1562"/>
      <c r="AH36" s="1562"/>
      <c r="AI36" s="1562"/>
      <c r="AJ36" s="1562"/>
      <c r="AK36" s="1569" t="s">
        <v>431</v>
      </c>
      <c r="AN36" s="305"/>
      <c r="AO36" s="305"/>
      <c r="AP36" s="305"/>
      <c r="AQ36" s="305"/>
      <c r="AR36" s="305"/>
      <c r="AS36" s="355">
        <v>0</v>
      </c>
    </row>
    <row r="37" spans="1:45" ht="14.65" customHeight="1">
      <c r="Q37" s="313"/>
      <c r="R37" s="313"/>
      <c r="S37" s="1202"/>
      <c r="T37" s="394"/>
      <c r="U37" s="1171"/>
      <c r="V37" s="2480"/>
      <c r="W37" s="2480"/>
      <c r="X37" s="2480"/>
      <c r="Y37" s="2480"/>
      <c r="Z37" s="2480"/>
      <c r="AA37" s="2480"/>
      <c r="AB37" s="2480"/>
      <c r="AC37" s="2480"/>
      <c r="AD37" s="2480"/>
      <c r="AE37" s="2480"/>
      <c r="AF37" s="2480"/>
      <c r="AG37" s="2480"/>
      <c r="AH37" s="2480"/>
      <c r="AI37" s="2480"/>
      <c r="AJ37" s="2480"/>
      <c r="AK37" s="2480"/>
      <c r="AS37" s="1558">
        <v>14</v>
      </c>
    </row>
    <row r="38" spans="1:45" ht="14.65" customHeight="1">
      <c r="Q38" s="313"/>
      <c r="R38" s="313"/>
      <c r="S38" s="2332" t="s">
        <v>307</v>
      </c>
      <c r="T38" s="2332"/>
      <c r="U38" s="2332"/>
      <c r="V38" s="2332"/>
      <c r="W38" s="2332"/>
      <c r="X38" s="2332"/>
      <c r="Y38" s="2332"/>
      <c r="Z38" s="2332"/>
      <c r="AA38" s="2332"/>
      <c r="AB38" s="2332"/>
      <c r="AC38" s="2332"/>
      <c r="AD38" s="2332"/>
      <c r="AE38" s="2332"/>
      <c r="AF38" s="2332"/>
      <c r="AG38" s="2332"/>
      <c r="AH38" s="2332"/>
      <c r="AI38" s="2332"/>
      <c r="AJ38" s="2332"/>
      <c r="AK38" s="2332"/>
      <c r="AL38" s="2332"/>
      <c r="AM38" s="2332" t="s">
        <v>308</v>
      </c>
      <c r="AS38" s="1558">
        <v>14</v>
      </c>
    </row>
    <row r="39" spans="1:45" ht="14.65" customHeight="1">
      <c r="Q39" s="313"/>
      <c r="R39" s="313"/>
      <c r="S39" s="2481" t="s">
        <v>89</v>
      </c>
      <c r="T39" s="2429" t="s">
        <v>432</v>
      </c>
      <c r="U39" s="275"/>
      <c r="V39" s="2482" t="s">
        <v>433</v>
      </c>
      <c r="W39" s="2483"/>
      <c r="X39" s="2483"/>
      <c r="Y39" s="2483"/>
      <c r="Z39" s="2483"/>
      <c r="AA39" s="2483"/>
      <c r="AB39" s="2484"/>
      <c r="AC39" s="2485" t="s">
        <v>434</v>
      </c>
      <c r="AD39" s="2482" t="s">
        <v>433</v>
      </c>
      <c r="AE39" s="2483"/>
      <c r="AF39" s="2483"/>
      <c r="AG39" s="2483"/>
      <c r="AH39" s="2483"/>
      <c r="AI39" s="2483"/>
      <c r="AJ39" s="2484"/>
      <c r="AK39" s="2485" t="s">
        <v>435</v>
      </c>
      <c r="AL39" s="2488" t="s">
        <v>436</v>
      </c>
      <c r="AM39" s="2332"/>
      <c r="AS39" s="1558">
        <v>14</v>
      </c>
    </row>
    <row r="40" spans="1:45" ht="35.65" customHeight="1">
      <c r="Q40" s="313"/>
      <c r="R40" s="313"/>
      <c r="S40" s="2481"/>
      <c r="T40" s="2429"/>
      <c r="U40" s="961"/>
      <c r="V40" s="2401" t="s">
        <v>437</v>
      </c>
      <c r="W40" s="2477" t="s">
        <v>438</v>
      </c>
      <c r="X40" s="2314" t="s">
        <v>439</v>
      </c>
      <c r="Y40" s="2313"/>
      <c r="Z40" s="2314" t="s">
        <v>453</v>
      </c>
      <c r="AA40" s="2319"/>
      <c r="AB40" s="2313"/>
      <c r="AC40" s="2486"/>
      <c r="AD40" s="2401" t="s">
        <v>437</v>
      </c>
      <c r="AE40" s="2477" t="s">
        <v>438</v>
      </c>
      <c r="AF40" s="2314" t="s">
        <v>439</v>
      </c>
      <c r="AG40" s="2313"/>
      <c r="AH40" s="2314" t="s">
        <v>440</v>
      </c>
      <c r="AI40" s="2319"/>
      <c r="AJ40" s="2313"/>
      <c r="AK40" s="2486"/>
      <c r="AL40" s="2489"/>
      <c r="AM40" s="2332"/>
      <c r="AS40" s="1558">
        <v>34</v>
      </c>
    </row>
    <row r="41" spans="1:45" ht="35.65" customHeight="1">
      <c r="A41" s="1193"/>
      <c r="B41" s="1193" t="s">
        <v>136</v>
      </c>
      <c r="C41" s="1193" t="s">
        <v>137</v>
      </c>
      <c r="D41" s="1193" t="s">
        <v>138</v>
      </c>
      <c r="E41" s="1237" t="s">
        <v>441</v>
      </c>
      <c r="F41" s="1237" t="s">
        <v>442</v>
      </c>
      <c r="G41" s="1237" t="s">
        <v>443</v>
      </c>
      <c r="H41" s="1237" t="s">
        <v>444</v>
      </c>
      <c r="I41" s="1237" t="s">
        <v>445</v>
      </c>
      <c r="J41" s="1237" t="s">
        <v>446</v>
      </c>
      <c r="K41" s="1237" t="s">
        <v>447</v>
      </c>
      <c r="L41" s="1237" t="s">
        <v>422</v>
      </c>
      <c r="Q41" s="313"/>
      <c r="R41" s="313"/>
      <c r="S41" s="2481"/>
      <c r="T41" s="2429"/>
      <c r="U41" s="240"/>
      <c r="V41" s="2454"/>
      <c r="W41" s="2478"/>
      <c r="X41" s="1860" t="s">
        <v>448</v>
      </c>
      <c r="Y41" s="1860" t="s">
        <v>449</v>
      </c>
      <c r="Z41" s="1860" t="s">
        <v>450</v>
      </c>
      <c r="AA41" s="2434" t="s">
        <v>451</v>
      </c>
      <c r="AB41" s="2448"/>
      <c r="AC41" s="2487"/>
      <c r="AD41" s="2454"/>
      <c r="AE41" s="2478"/>
      <c r="AF41" s="1860" t="s">
        <v>448</v>
      </c>
      <c r="AG41" s="1860" t="s">
        <v>449</v>
      </c>
      <c r="AH41" s="1860" t="s">
        <v>450</v>
      </c>
      <c r="AI41" s="2434" t="s">
        <v>451</v>
      </c>
      <c r="AJ41" s="2448"/>
      <c r="AK41" s="2487"/>
      <c r="AL41" s="2490"/>
      <c r="AM41" s="2332"/>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110</v>
      </c>
      <c r="T42" s="1182" t="s">
        <v>111</v>
      </c>
      <c r="U42" s="1172" t="str">
        <f ca="1">OFFSET(U42,0,-1)</f>
        <v>2</v>
      </c>
      <c r="V42" s="1878">
        <f ca="1">OFFSET(V42,0,-1)+1</f>
        <v>3</v>
      </c>
      <c r="W42" s="1878"/>
      <c r="X42" s="1878">
        <f ca="1">OFFSET(X42,0,-1)+1</f>
        <v>1</v>
      </c>
      <c r="Y42" s="1878">
        <f ca="1">OFFSET(Y42,0,-1)+1</f>
        <v>2</v>
      </c>
      <c r="Z42" s="1878">
        <f ca="1">OFFSET(Z42,0,-1)+1</f>
        <v>3</v>
      </c>
      <c r="AA42" s="2479">
        <f ca="1">OFFSET(AA42,0,-1)+1</f>
        <v>4</v>
      </c>
      <c r="AB42" s="2479"/>
      <c r="AC42" s="1878">
        <f ca="1">OFFSET(AC42,0,-2)+1</f>
        <v>5</v>
      </c>
      <c r="AD42" s="1878">
        <f ca="1">OFFSET(AD42,0,-1)+1</f>
        <v>6</v>
      </c>
      <c r="AE42" s="1878"/>
      <c r="AF42" s="1878">
        <f ca="1">OFFSET(AF42,0,-1)+1</f>
        <v>1</v>
      </c>
      <c r="AG42" s="1878">
        <f ca="1">OFFSET(AG42,0,-1)+1</f>
        <v>2</v>
      </c>
      <c r="AH42" s="1878">
        <f ca="1">OFFSET(AH42,0,-1)+1</f>
        <v>3</v>
      </c>
      <c r="AI42" s="2479">
        <f ca="1">OFFSET(AI42,0,-1)+1</f>
        <v>4</v>
      </c>
      <c r="AJ42" s="2479"/>
      <c r="AK42" s="1878">
        <f ca="1">OFFSET(AK42,0,-2)+1</f>
        <v>5</v>
      </c>
      <c r="AL42" s="1172">
        <f ca="1">OFFSET(AL42,0,-1)</f>
        <v>5</v>
      </c>
      <c r="AM42" s="1878">
        <f ca="1">OFFSET(AM42,0,-1)+1</f>
        <v>6</v>
      </c>
      <c r="AN42" s="1563"/>
      <c r="AO42" s="1563"/>
      <c r="AP42" s="1563"/>
      <c r="AQ42" s="1563"/>
      <c r="AR42" s="1563"/>
      <c r="AS42" s="1568">
        <v>0</v>
      </c>
    </row>
    <row r="43" spans="1:45" ht="21.95" customHeight="1">
      <c r="A43" s="1194" t="s">
        <v>219</v>
      </c>
      <c r="B43" s="1194"/>
      <c r="C43" s="1194"/>
      <c r="D43" s="1194"/>
      <c r="E43" s="2504">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124</v>
      </c>
      <c r="U43" s="238"/>
      <c r="V43" s="2462"/>
      <c r="W43" s="2463"/>
      <c r="X43" s="2463"/>
      <c r="Y43" s="2463"/>
      <c r="Z43" s="2463"/>
      <c r="AA43" s="2463"/>
      <c r="AB43" s="2463"/>
      <c r="AC43" s="2464"/>
      <c r="AD43" s="2462" t="str">
        <f>INDEX(PT_DIFFERENTIATION_NTAR,MATCH(A43,PT_DIFFERENTIATION_NTAR_ID,0))</f>
        <v/>
      </c>
      <c r="AE43" s="2463"/>
      <c r="AF43" s="2463"/>
      <c r="AG43" s="2463"/>
      <c r="AH43" s="2463"/>
      <c r="AI43" s="2463"/>
      <c r="AJ43" s="2463"/>
      <c r="AK43" s="2463"/>
      <c r="AL43" s="246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219</v>
      </c>
      <c r="B44" s="1194" t="s">
        <v>220</v>
      </c>
      <c r="C44" s="1194"/>
      <c r="D44" s="1194"/>
      <c r="E44" s="2505"/>
      <c r="F44" s="2504">
        <v>1</v>
      </c>
      <c r="G44" s="1194"/>
      <c r="H44" s="1194"/>
      <c r="I44" s="1194"/>
      <c r="J44" s="1194"/>
      <c r="K44" s="1194"/>
      <c r="L44" s="1237"/>
      <c r="M44" s="1537"/>
      <c r="N44" s="1537"/>
      <c r="O44" s="1537"/>
      <c r="P44" s="1862"/>
      <c r="Q44" s="289"/>
      <c r="R44" s="290"/>
      <c r="S44" s="1880" t="str">
        <f>INDEX(PT_DIFFERENTIATION_NUM_TER,MATCH(B44,PT_DIFFERENTIATION_TER_ID,0))</f>
        <v>.</v>
      </c>
      <c r="T44" s="1449" t="s">
        <v>404</v>
      </c>
      <c r="U44" s="238"/>
      <c r="V44" s="2462"/>
      <c r="W44" s="2463"/>
      <c r="X44" s="2463"/>
      <c r="Y44" s="2463"/>
      <c r="Z44" s="2463"/>
      <c r="AA44" s="2463"/>
      <c r="AB44" s="2463"/>
      <c r="AC44" s="2464"/>
      <c r="AD44" s="2462" t="str">
        <f>INDEX(PT_DIFFERENTIATION_TER,MATCH(B44,PT_DIFFERENTIATION_TER_ID,0))</f>
        <v/>
      </c>
      <c r="AE44" s="2463"/>
      <c r="AF44" s="2463"/>
      <c r="AG44" s="2463"/>
      <c r="AH44" s="2463"/>
      <c r="AI44" s="2463"/>
      <c r="AJ44" s="2463"/>
      <c r="AK44" s="2463"/>
      <c r="AL44" s="2464"/>
      <c r="AM44" s="1185" t="s">
        <v>405</v>
      </c>
      <c r="AO44" s="1551"/>
      <c r="AP44" s="1551" t="str">
        <f t="shared" si="1"/>
        <v>Территория действия тарифа</v>
      </c>
      <c r="AQ44" s="1551"/>
      <c r="AR44" s="1551"/>
      <c r="AS44" s="1558">
        <v>21</v>
      </c>
    </row>
    <row r="45" spans="1:45" ht="24" customHeight="1">
      <c r="A45" s="1194" t="s">
        <v>219</v>
      </c>
      <c r="B45" s="1194" t="s">
        <v>220</v>
      </c>
      <c r="C45" s="1194" t="s">
        <v>221</v>
      </c>
      <c r="D45" s="1194"/>
      <c r="E45" s="2505"/>
      <c r="F45" s="2505"/>
      <c r="G45" s="2504">
        <v>1</v>
      </c>
      <c r="H45" s="1194"/>
      <c r="I45" s="1194"/>
      <c r="J45" s="1194"/>
      <c r="K45" s="1194"/>
      <c r="L45" s="1237"/>
      <c r="M45" s="1537"/>
      <c r="N45" s="1537"/>
      <c r="O45" s="1537"/>
      <c r="P45" s="291"/>
      <c r="Q45" s="289"/>
      <c r="R45" s="290"/>
      <c r="S45" s="1880" t="str">
        <f>INDEX(PT_DIFFERENTIATION_NUM_CS,MATCH(C45,PT_DIFFERENTIATION_CS_ID,0))</f>
        <v>..</v>
      </c>
      <c r="T45" s="247" t="s">
        <v>406</v>
      </c>
      <c r="U45" s="238"/>
      <c r="V45" s="2462"/>
      <c r="W45" s="2463"/>
      <c r="X45" s="2463"/>
      <c r="Y45" s="2463"/>
      <c r="Z45" s="2463"/>
      <c r="AA45" s="2463"/>
      <c r="AB45" s="2463"/>
      <c r="AC45" s="2464"/>
      <c r="AD45" s="2462" t="str">
        <f>INDEX(PT_DIFFERENTIATION_CS,MATCH(C45,PT_DIFFERENTIATION_CS_ID,0))</f>
        <v/>
      </c>
      <c r="AE45" s="2463"/>
      <c r="AF45" s="2463"/>
      <c r="AG45" s="2463"/>
      <c r="AH45" s="2463"/>
      <c r="AI45" s="2463"/>
      <c r="AJ45" s="2463"/>
      <c r="AK45" s="2463"/>
      <c r="AL45" s="2464"/>
      <c r="AM45" s="1185" t="s">
        <v>407</v>
      </c>
      <c r="AO45" s="1551"/>
      <c r="AP45" s="1551" t="str">
        <f t="shared" si="1"/>
        <v xml:space="preserve">Наименование системы теплоснабжения </v>
      </c>
      <c r="AQ45" s="1551"/>
      <c r="AR45" s="1551"/>
      <c r="AS45" s="1558">
        <v>23</v>
      </c>
    </row>
    <row r="46" spans="1:45" ht="21.95" customHeight="1">
      <c r="A46" s="1194" t="s">
        <v>219</v>
      </c>
      <c r="B46" s="1194" t="s">
        <v>220</v>
      </c>
      <c r="C46" s="1194" t="s">
        <v>221</v>
      </c>
      <c r="D46" s="1194" t="s">
        <v>222</v>
      </c>
      <c r="E46" s="2505"/>
      <c r="F46" s="2505"/>
      <c r="G46" s="2505"/>
      <c r="H46" s="2504">
        <v>1</v>
      </c>
      <c r="I46" s="1194"/>
      <c r="J46" s="1194"/>
      <c r="K46" s="1194"/>
      <c r="L46" s="1237"/>
      <c r="M46" s="1537"/>
      <c r="N46" s="1537"/>
      <c r="O46" s="1537"/>
      <c r="P46" s="291"/>
      <c r="Q46" s="289"/>
      <c r="R46" s="290"/>
      <c r="S46" s="1880" t="str">
        <f>INDEX(PT_DIFFERENTIATION_NUM_IST_TE,MATCH(D46,PT_DIFFERENTIATION_IST_TE_ID,0))</f>
        <v>...</v>
      </c>
      <c r="T46" s="248" t="s">
        <v>408</v>
      </c>
      <c r="U46" s="238"/>
      <c r="V46" s="2462"/>
      <c r="W46" s="2463"/>
      <c r="X46" s="2463"/>
      <c r="Y46" s="2463"/>
      <c r="Z46" s="2463"/>
      <c r="AA46" s="2463"/>
      <c r="AB46" s="2463"/>
      <c r="AC46" s="2464"/>
      <c r="AD46" s="2462" t="str">
        <f>INDEX(PT_DIFFERENTIATION_IST_TE,MATCH(D46,PT_DIFFERENTIATION_IST_TE_ID,0))</f>
        <v/>
      </c>
      <c r="AE46" s="2463"/>
      <c r="AF46" s="2463"/>
      <c r="AG46" s="2463"/>
      <c r="AH46" s="2463"/>
      <c r="AI46" s="2463"/>
      <c r="AJ46" s="2463"/>
      <c r="AK46" s="2463"/>
      <c r="AL46" s="2464"/>
      <c r="AM46" s="1185" t="s">
        <v>409</v>
      </c>
      <c r="AO46" s="1551"/>
      <c r="AP46" s="1551" t="str">
        <f t="shared" si="1"/>
        <v xml:space="preserve">Источник тепловой энергии  </v>
      </c>
      <c r="AQ46" s="1551"/>
      <c r="AR46" s="1551"/>
      <c r="AS46" s="1558">
        <v>21</v>
      </c>
    </row>
    <row r="47" spans="1:45" ht="49.5" customHeight="1">
      <c r="A47" s="1194" t="s">
        <v>219</v>
      </c>
      <c r="B47" s="1194" t="s">
        <v>220</v>
      </c>
      <c r="C47" s="1194" t="s">
        <v>221</v>
      </c>
      <c r="D47" s="1194" t="s">
        <v>222</v>
      </c>
      <c r="E47" s="2505"/>
      <c r="F47" s="2505"/>
      <c r="G47" s="2505"/>
      <c r="H47" s="2505"/>
      <c r="I47" s="2332" t="str">
        <f>S46&amp;".1"</f>
        <v>....1</v>
      </c>
      <c r="J47" s="1194"/>
      <c r="K47" s="1194"/>
      <c r="L47" s="1237" t="s">
        <v>410</v>
      </c>
      <c r="P47" s="2472">
        <v>1</v>
      </c>
      <c r="Q47" s="1876"/>
      <c r="R47" s="293"/>
      <c r="S47" s="1880" t="str">
        <f>$I47</f>
        <v>....1</v>
      </c>
      <c r="T47" s="223" t="s">
        <v>411</v>
      </c>
      <c r="U47" s="238"/>
      <c r="V47" s="2456"/>
      <c r="W47" s="2457"/>
      <c r="X47" s="2457"/>
      <c r="Y47" s="2457"/>
      <c r="Z47" s="2457"/>
      <c r="AA47" s="2457"/>
      <c r="AB47" s="2457"/>
      <c r="AC47" s="2458"/>
      <c r="AD47" s="2456"/>
      <c r="AE47" s="2457"/>
      <c r="AF47" s="2457"/>
      <c r="AG47" s="2457"/>
      <c r="AH47" s="2457"/>
      <c r="AI47" s="2457"/>
      <c r="AJ47" s="2457"/>
      <c r="AK47" s="2457"/>
      <c r="AL47" s="2458"/>
      <c r="AM47" s="1185" t="s">
        <v>412</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219</v>
      </c>
      <c r="B48" s="1194" t="s">
        <v>220</v>
      </c>
      <c r="C48" s="1194" t="s">
        <v>221</v>
      </c>
      <c r="D48" s="1194" t="s">
        <v>222</v>
      </c>
      <c r="E48" s="2505"/>
      <c r="F48" s="2505"/>
      <c r="G48" s="2505"/>
      <c r="H48" s="2505"/>
      <c r="I48" s="2314"/>
      <c r="J48" s="2332" t="str">
        <f>I47&amp;".1"</f>
        <v>....1.1</v>
      </c>
      <c r="K48" s="1194"/>
      <c r="L48" s="1237" t="s">
        <v>413</v>
      </c>
      <c r="P48" s="2472"/>
      <c r="Q48" s="2472">
        <v>1</v>
      </c>
      <c r="R48" s="294"/>
      <c r="S48" s="1880" t="str">
        <f>$J48</f>
        <v>....1.1</v>
      </c>
      <c r="T48" s="224" t="s">
        <v>414</v>
      </c>
      <c r="U48" s="238"/>
      <c r="V48" s="2456"/>
      <c r="W48" s="2457"/>
      <c r="X48" s="2457"/>
      <c r="Y48" s="2457"/>
      <c r="Z48" s="2457"/>
      <c r="AA48" s="2457"/>
      <c r="AB48" s="2457"/>
      <c r="AC48" s="2458"/>
      <c r="AD48" s="2456"/>
      <c r="AE48" s="2457"/>
      <c r="AF48" s="2457"/>
      <c r="AG48" s="2457"/>
      <c r="AH48" s="2457"/>
      <c r="AI48" s="2457"/>
      <c r="AJ48" s="2457"/>
      <c r="AK48" s="2457"/>
      <c r="AL48" s="2458"/>
      <c r="AM48" s="1185" t="s">
        <v>415</v>
      </c>
      <c r="AO48" s="1551"/>
      <c r="AP48" s="1551" t="str">
        <f t="shared" si="1"/>
        <v>Группа потребителей</v>
      </c>
      <c r="AQ48" s="1551"/>
      <c r="AR48" s="1551"/>
      <c r="AS48" s="1558">
        <v>21</v>
      </c>
    </row>
    <row r="49" spans="1:45" ht="21.95" customHeight="1">
      <c r="A49" s="1194" t="s">
        <v>219</v>
      </c>
      <c r="B49" s="1194" t="s">
        <v>220</v>
      </c>
      <c r="C49" s="1194" t="s">
        <v>221</v>
      </c>
      <c r="D49" s="1194" t="s">
        <v>222</v>
      </c>
      <c r="E49" s="2505"/>
      <c r="F49" s="2505"/>
      <c r="G49" s="2505"/>
      <c r="H49" s="2505"/>
      <c r="I49" s="2314"/>
      <c r="J49" s="2314"/>
      <c r="K49" s="2332" t="str">
        <f>J48&amp;".1"</f>
        <v>....1.1.1</v>
      </c>
      <c r="L49" s="1237" t="s">
        <v>416</v>
      </c>
      <c r="P49" s="2472"/>
      <c r="Q49" s="2472"/>
      <c r="R49" s="294">
        <v>1</v>
      </c>
      <c r="S49" s="1880" t="str">
        <f>$K49</f>
        <v>....1.1.1</v>
      </c>
      <c r="T49" s="1274"/>
      <c r="U49" s="238"/>
      <c r="V49" s="688"/>
      <c r="W49" s="263"/>
      <c r="X49" s="688"/>
      <c r="Y49" s="1184"/>
      <c r="Z49" s="2473"/>
      <c r="AA49" s="2342" t="s">
        <v>67</v>
      </c>
      <c r="AB49" s="2473"/>
      <c r="AC49" s="2342" t="s">
        <v>67</v>
      </c>
      <c r="AD49" s="688"/>
      <c r="AE49" s="263"/>
      <c r="AF49" s="688"/>
      <c r="AG49" s="1184"/>
      <c r="AH49" s="2473"/>
      <c r="AI49" s="2342" t="s">
        <v>67</v>
      </c>
      <c r="AJ49" s="2475"/>
      <c r="AK49" s="2342" t="s">
        <v>67</v>
      </c>
      <c r="AL49" s="1275"/>
      <c r="AM49" s="2491" t="s">
        <v>417</v>
      </c>
      <c r="AN49" s="1563" t="e">
        <f ca="1">STRCHECKDATE(V50:AL50)</f>
        <v>#NAME?</v>
      </c>
      <c r="AO49" s="1551"/>
      <c r="AP49" s="1551" t="str">
        <f t="shared" si="1"/>
        <v/>
      </c>
      <c r="AQ49" s="1551"/>
      <c r="AR49" s="1551"/>
      <c r="AS49" s="1558">
        <v>21</v>
      </c>
    </row>
    <row r="50" spans="1:45" ht="1.1499999999999999" customHeight="1">
      <c r="A50" s="1194" t="s">
        <v>219</v>
      </c>
      <c r="B50" s="1194" t="s">
        <v>220</v>
      </c>
      <c r="C50" s="1194" t="s">
        <v>221</v>
      </c>
      <c r="D50" s="1194" t="s">
        <v>222</v>
      </c>
      <c r="E50" s="2505"/>
      <c r="F50" s="2505"/>
      <c r="G50" s="2505"/>
      <c r="H50" s="2505"/>
      <c r="I50" s="2314"/>
      <c r="J50" s="2314"/>
      <c r="K50" s="2332"/>
      <c r="L50" s="1237"/>
      <c r="P50" s="2472"/>
      <c r="Q50" s="2472"/>
      <c r="R50" s="294"/>
      <c r="S50" s="1889"/>
      <c r="T50" s="238"/>
      <c r="U50" s="238"/>
      <c r="V50" s="263"/>
      <c r="W50" s="263"/>
      <c r="X50" s="263"/>
      <c r="Y50" s="266" t="str">
        <f>Z49&amp;"-"&amp;AB49</f>
        <v>-</v>
      </c>
      <c r="Z50" s="2474"/>
      <c r="AA50" s="2342"/>
      <c r="AB50" s="2474"/>
      <c r="AC50" s="2342"/>
      <c r="AD50" s="263"/>
      <c r="AE50" s="263"/>
      <c r="AF50" s="263"/>
      <c r="AG50" s="266" t="str">
        <f>AH49&amp;"-"&amp;AJ49</f>
        <v>-</v>
      </c>
      <c r="AH50" s="2474"/>
      <c r="AI50" s="2342"/>
      <c r="AJ50" s="2476"/>
      <c r="AK50" s="2342"/>
      <c r="AL50" s="1276"/>
      <c r="AM50" s="2492"/>
      <c r="AO50" s="1551"/>
      <c r="AP50" s="1551" t="str">
        <f t="shared" si="1"/>
        <v/>
      </c>
      <c r="AQ50" s="1551"/>
      <c r="AR50" s="1551"/>
      <c r="AS50" s="1558">
        <v>1</v>
      </c>
    </row>
    <row r="51" spans="1:45" ht="11.45" customHeight="1">
      <c r="A51" s="1194" t="s">
        <v>219</v>
      </c>
      <c r="B51" s="1194" t="s">
        <v>220</v>
      </c>
      <c r="C51" s="1194" t="s">
        <v>221</v>
      </c>
      <c r="D51" s="1194" t="s">
        <v>222</v>
      </c>
      <c r="E51" s="2505"/>
      <c r="F51" s="2505"/>
      <c r="G51" s="2505"/>
      <c r="H51" s="2505"/>
      <c r="I51" s="2314"/>
      <c r="J51" s="2332"/>
      <c r="K51" s="1194"/>
      <c r="L51" s="1237"/>
      <c r="P51" s="2472"/>
      <c r="Q51" s="2472"/>
      <c r="R51" s="293"/>
      <c r="S51" s="1205"/>
      <c r="T51" s="226" t="s">
        <v>418</v>
      </c>
      <c r="U51" s="537"/>
      <c r="V51" s="537"/>
      <c r="W51" s="537"/>
      <c r="X51" s="537"/>
      <c r="Y51" s="537"/>
      <c r="Z51" s="537"/>
      <c r="AA51" s="537"/>
      <c r="AB51" s="537"/>
      <c r="AC51" s="537"/>
      <c r="AD51" s="537"/>
      <c r="AE51" s="537"/>
      <c r="AF51" s="537"/>
      <c r="AG51" s="537"/>
      <c r="AH51" s="537"/>
      <c r="AI51" s="537"/>
      <c r="AJ51" s="537"/>
      <c r="AK51" s="537"/>
      <c r="AL51" s="262"/>
      <c r="AM51" s="2493"/>
      <c r="AO51" s="1551"/>
      <c r="AP51" s="1551" t="str">
        <f t="shared" si="1"/>
        <v>Добавить вид теплоносителя (параметры теплоносителя)</v>
      </c>
      <c r="AQ51" s="1551"/>
      <c r="AR51" s="1551"/>
      <c r="AS51" s="1558">
        <v>11</v>
      </c>
    </row>
    <row r="52" spans="1:45" ht="11.45" customHeight="1">
      <c r="A52" s="1194" t="s">
        <v>219</v>
      </c>
      <c r="B52" s="1194" t="s">
        <v>220</v>
      </c>
      <c r="C52" s="1194" t="s">
        <v>221</v>
      </c>
      <c r="D52" s="1194" t="s">
        <v>222</v>
      </c>
      <c r="E52" s="2505"/>
      <c r="F52" s="2505"/>
      <c r="G52" s="2505"/>
      <c r="H52" s="2505"/>
      <c r="I52" s="2332"/>
      <c r="J52" s="1194"/>
      <c r="K52" s="1194"/>
      <c r="L52" s="1237"/>
      <c r="P52" s="2472"/>
      <c r="Q52" s="1876"/>
      <c r="R52" s="293"/>
      <c r="S52" s="1205"/>
      <c r="T52" s="225" t="s">
        <v>419</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219</v>
      </c>
      <c r="B53" s="1194" t="s">
        <v>220</v>
      </c>
      <c r="C53" s="1194" t="s">
        <v>221</v>
      </c>
      <c r="D53" s="1194" t="s">
        <v>222</v>
      </c>
      <c r="E53" s="2505"/>
      <c r="F53" s="2505"/>
      <c r="G53" s="2505"/>
      <c r="H53" s="2504"/>
      <c r="I53" s="1194"/>
      <c r="J53" s="1194"/>
      <c r="K53" s="1194"/>
      <c r="L53" s="1237"/>
      <c r="M53" s="1537"/>
      <c r="N53" s="1537"/>
      <c r="O53" s="1562"/>
      <c r="P53" s="297"/>
      <c r="Q53" s="312"/>
      <c r="R53" s="292"/>
      <c r="S53" s="1205"/>
      <c r="T53" s="302" t="s">
        <v>420</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219</v>
      </c>
      <c r="B54" s="1194" t="s">
        <v>220</v>
      </c>
      <c r="C54" s="1194" t="s">
        <v>221</v>
      </c>
      <c r="D54" s="1896"/>
      <c r="E54" s="2505"/>
      <c r="F54" s="2505"/>
      <c r="G54" s="2504"/>
      <c r="H54" s="1896"/>
      <c r="I54" s="1896"/>
      <c r="J54" s="1896"/>
      <c r="K54" s="1896"/>
      <c r="L54" s="1307"/>
      <c r="M54" s="1537"/>
      <c r="N54" s="1537"/>
      <c r="O54" s="156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219</v>
      </c>
      <c r="B55" s="1194" t="s">
        <v>220</v>
      </c>
      <c r="C55" s="1896"/>
      <c r="D55" s="1896"/>
      <c r="E55" s="2505"/>
      <c r="F55" s="2504"/>
      <c r="G55" s="1896"/>
      <c r="H55" s="1896"/>
      <c r="I55" s="1896"/>
      <c r="J55" s="1896"/>
      <c r="K55" s="1896"/>
      <c r="L55" s="1307"/>
      <c r="M55" s="1897"/>
      <c r="N55" s="1897"/>
      <c r="O55" s="1562"/>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219</v>
      </c>
      <c r="B56" s="1194"/>
      <c r="C56" s="1194"/>
      <c r="D56" s="1194"/>
      <c r="E56" s="2504"/>
      <c r="F56" s="1194"/>
      <c r="G56" s="1194"/>
      <c r="H56" s="1194"/>
      <c r="I56" s="1194"/>
      <c r="J56" s="1194"/>
      <c r="K56" s="1194"/>
      <c r="L56" s="1237"/>
      <c r="M56" s="1897"/>
      <c r="N56" s="1897"/>
      <c r="O56" s="1562"/>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467"/>
      <c r="U59" s="2467"/>
      <c r="V59" s="2467"/>
      <c r="W59" s="2467"/>
      <c r="X59" s="2467"/>
      <c r="Y59" s="2467"/>
      <c r="Z59" s="2467"/>
      <c r="AA59" s="2467"/>
      <c r="AB59" s="2467"/>
      <c r="AC59" s="2467"/>
      <c r="AD59" s="2467"/>
      <c r="AE59" s="2467"/>
      <c r="AF59" s="2467"/>
      <c r="AG59" s="2467"/>
      <c r="AH59" s="2467"/>
      <c r="AI59" s="2467"/>
      <c r="AJ59" s="2467"/>
      <c r="AK59" s="2467"/>
      <c r="AL59" s="2467"/>
      <c r="AM59" s="2467"/>
      <c r="AS59" s="1558">
        <v>27</v>
      </c>
    </row>
    <row r="60" spans="1:45" ht="65.25" customHeight="1">
      <c r="O60" s="1562"/>
      <c r="T60" s="2467"/>
      <c r="U60" s="2467"/>
      <c r="V60" s="2467"/>
      <c r="W60" s="2467"/>
      <c r="X60" s="2467"/>
      <c r="Y60" s="2467"/>
      <c r="Z60" s="2467"/>
      <c r="AA60" s="2467"/>
      <c r="AB60" s="2467"/>
      <c r="AC60" s="2467"/>
      <c r="AD60" s="2467"/>
      <c r="AE60" s="2467"/>
      <c r="AF60" s="2467"/>
      <c r="AG60" s="2467"/>
      <c r="AH60" s="2467"/>
      <c r="AI60" s="2467"/>
      <c r="AJ60" s="2467"/>
      <c r="AK60" s="2467"/>
      <c r="AL60" s="2467"/>
      <c r="AM60" s="2467"/>
      <c r="AS60" s="1558">
        <v>62</v>
      </c>
    </row>
    <row r="61" spans="1:45" ht="14.65" customHeight="1">
      <c r="O61" s="1562"/>
      <c r="AS61" s="1558">
        <v>14</v>
      </c>
    </row>
    <row r="62" spans="1:45" ht="18.75" customHeight="1">
      <c r="O62" s="1562"/>
      <c r="S62" s="1180"/>
      <c r="T62" s="2467"/>
      <c r="U62" s="2467"/>
      <c r="V62" s="2467"/>
      <c r="W62" s="2467"/>
      <c r="X62" s="2467"/>
      <c r="Y62" s="2467"/>
      <c r="Z62" s="2467"/>
      <c r="AA62" s="2467"/>
      <c r="AB62" s="2467"/>
      <c r="AC62" s="2467"/>
      <c r="AD62" s="2467"/>
      <c r="AE62" s="2467"/>
      <c r="AF62" s="2467"/>
      <c r="AG62" s="2467"/>
      <c r="AH62" s="2467"/>
      <c r="AI62" s="2467"/>
      <c r="AJ62" s="2467"/>
      <c r="AK62" s="2467"/>
      <c r="AL62" s="2467"/>
      <c r="AM62" s="2467"/>
      <c r="AS62" s="1558">
        <v>18</v>
      </c>
    </row>
    <row r="63" spans="1:45" ht="18.75" customHeight="1">
      <c r="O63" s="1562"/>
      <c r="T63" s="2467"/>
      <c r="U63" s="2467"/>
      <c r="V63" s="2467"/>
      <c r="W63" s="2467"/>
      <c r="X63" s="2467"/>
      <c r="Y63" s="2467"/>
      <c r="Z63" s="2467"/>
      <c r="AA63" s="2467"/>
      <c r="AB63" s="2467"/>
      <c r="AC63" s="2467"/>
      <c r="AD63" s="2467"/>
      <c r="AE63" s="2467"/>
      <c r="AF63" s="2467"/>
      <c r="AG63" s="2467"/>
      <c r="AH63" s="2467"/>
      <c r="AI63" s="2467"/>
      <c r="AJ63" s="2467"/>
      <c r="AK63" s="2467"/>
      <c r="AL63" s="2467"/>
      <c r="AM63" s="2467"/>
      <c r="AS63" s="1558">
        <v>18</v>
      </c>
    </row>
    <row r="64" spans="1:45" ht="29.25" customHeight="1">
      <c r="O64" s="1562"/>
      <c r="S64" s="1180"/>
      <c r="T64" s="2467"/>
      <c r="U64" s="2467"/>
      <c r="V64" s="2467"/>
      <c r="W64" s="2467"/>
      <c r="X64" s="2467"/>
      <c r="Y64" s="2467"/>
      <c r="Z64" s="2467"/>
      <c r="AA64" s="2467"/>
      <c r="AB64" s="2467"/>
      <c r="AC64" s="2467"/>
      <c r="AD64" s="2467"/>
      <c r="AE64" s="2467"/>
      <c r="AF64" s="2467"/>
      <c r="AG64" s="2467"/>
      <c r="AH64" s="2467"/>
      <c r="AI64" s="2467"/>
      <c r="AJ64" s="2467"/>
      <c r="AK64" s="2467"/>
      <c r="AL64" s="2467"/>
      <c r="AM64" s="2467"/>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AE90D-D8AD-49A1-D66F-B87918150DC3}">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2" customWidth="1"/>
    <col min="19" max="19" width="12" style="2009"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468">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462"/>
      <c r="W2" s="2463"/>
      <c r="X2" s="2463"/>
      <c r="Y2" s="2463"/>
      <c r="Z2" s="2463"/>
      <c r="AA2" s="2463"/>
      <c r="AB2" s="2463"/>
      <c r="AC2" s="2464"/>
      <c r="AD2" s="2462" t="e">
        <f>INDEX(PT_DIFFERENTIATION_NTAR,MATCH(A2,PT_DIFFERENTIATION_NTAR_ID,0))</f>
        <v>#N/A</v>
      </c>
      <c r="AE2" s="2463"/>
      <c r="AF2" s="2463"/>
      <c r="AG2" s="2463"/>
      <c r="AH2" s="2463"/>
      <c r="AI2" s="2463"/>
      <c r="AJ2" s="2463"/>
      <c r="AK2" s="2463"/>
      <c r="AL2" s="2464"/>
      <c r="AM2" s="1185" t="s">
        <v>403</v>
      </c>
      <c r="AO2" s="437"/>
      <c r="AP2" s="437" t="str">
        <f t="shared" ref="AP2:AP15" si="0">IF(T2="","",T2)</f>
        <v>Наименование тарифа</v>
      </c>
      <c r="AQ2" s="437"/>
      <c r="AR2" s="437"/>
      <c r="AS2" s="1082">
        <v>0</v>
      </c>
    </row>
    <row r="3" spans="1:45" ht="21" hidden="1" customHeight="1">
      <c r="A3" s="1290"/>
      <c r="B3" s="1290"/>
      <c r="C3" s="1290"/>
      <c r="D3" s="1290"/>
      <c r="E3" s="2469"/>
      <c r="F3" s="2468">
        <v>1</v>
      </c>
      <c r="G3" s="1290"/>
      <c r="H3" s="1290"/>
      <c r="I3" s="1290"/>
      <c r="J3" s="1290"/>
      <c r="K3" s="1290"/>
      <c r="L3" s="1291"/>
      <c r="M3" s="1292"/>
      <c r="N3" s="1292"/>
      <c r="O3" s="1292"/>
      <c r="P3" s="1259"/>
      <c r="Q3" s="289"/>
      <c r="R3" s="290"/>
      <c r="S3" s="1263" t="e">
        <f>INDEX(PT_DIFFERENTIATION_NUM_TER,MATCH(B3,PT_DIFFERENTIATION_TER_ID,0))</f>
        <v>#N/A</v>
      </c>
      <c r="T3" s="246" t="s">
        <v>404</v>
      </c>
      <c r="U3" s="238"/>
      <c r="V3" s="2462"/>
      <c r="W3" s="2463"/>
      <c r="X3" s="2463"/>
      <c r="Y3" s="2463"/>
      <c r="Z3" s="2463"/>
      <c r="AA3" s="2463"/>
      <c r="AB3" s="2463"/>
      <c r="AC3" s="2464"/>
      <c r="AD3" s="2462" t="e">
        <f>INDEX(PT_DIFFERENTIATION_TER,MATCH(B3,PT_DIFFERENTIATION_TER_ID,0))</f>
        <v>#N/A</v>
      </c>
      <c r="AE3" s="2463"/>
      <c r="AF3" s="2463"/>
      <c r="AG3" s="2463"/>
      <c r="AH3" s="2463"/>
      <c r="AI3" s="2463"/>
      <c r="AJ3" s="2463"/>
      <c r="AK3" s="2463"/>
      <c r="AL3" s="2464"/>
      <c r="AM3" s="1185" t="s">
        <v>405</v>
      </c>
      <c r="AO3" s="437"/>
      <c r="AP3" s="437" t="str">
        <f t="shared" si="0"/>
        <v>Территория действия тарифа</v>
      </c>
      <c r="AQ3" s="437"/>
      <c r="AR3" s="437"/>
      <c r="AS3" s="1082">
        <v>0</v>
      </c>
    </row>
    <row r="4" spans="1:45" ht="23.25" hidden="1" customHeight="1">
      <c r="A4" s="1290"/>
      <c r="B4" s="1290"/>
      <c r="C4" s="1290"/>
      <c r="D4" s="1290"/>
      <c r="E4" s="2469"/>
      <c r="F4" s="2469"/>
      <c r="G4" s="2468">
        <v>1</v>
      </c>
      <c r="H4" s="1290"/>
      <c r="I4" s="1290"/>
      <c r="J4" s="1290"/>
      <c r="K4" s="1290"/>
      <c r="L4" s="1291"/>
      <c r="M4" s="1292"/>
      <c r="N4" s="1292"/>
      <c r="O4" s="1292"/>
      <c r="P4" s="291"/>
      <c r="Q4" s="289"/>
      <c r="R4" s="290"/>
      <c r="S4" s="1263" t="e">
        <f>INDEX(PT_DIFFERENTIATION_NUM_CS,MATCH(C4,PT_DIFFERENTIATION_CS_ID,0))</f>
        <v>#N/A</v>
      </c>
      <c r="T4" s="247" t="s">
        <v>406</v>
      </c>
      <c r="U4" s="238"/>
      <c r="V4" s="2462"/>
      <c r="W4" s="2463"/>
      <c r="X4" s="2463"/>
      <c r="Y4" s="2463"/>
      <c r="Z4" s="2463"/>
      <c r="AA4" s="2463"/>
      <c r="AB4" s="2463"/>
      <c r="AC4" s="2464"/>
      <c r="AD4" s="2462" t="e">
        <f>INDEX(PT_DIFFERENTIATION_CS,MATCH(C4,PT_DIFFERENTIATION_CS_ID,0))</f>
        <v>#N/A</v>
      </c>
      <c r="AE4" s="2463"/>
      <c r="AF4" s="2463"/>
      <c r="AG4" s="2463"/>
      <c r="AH4" s="2463"/>
      <c r="AI4" s="2463"/>
      <c r="AJ4" s="2463"/>
      <c r="AK4" s="2463"/>
      <c r="AL4" s="2464"/>
      <c r="AM4" s="1185" t="s">
        <v>407</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469"/>
      <c r="F5" s="2469"/>
      <c r="G5" s="2469"/>
      <c r="H5" s="2468">
        <v>1</v>
      </c>
      <c r="I5" s="1290"/>
      <c r="J5" s="1290"/>
      <c r="K5" s="1290"/>
      <c r="L5" s="1291"/>
      <c r="M5" s="1292"/>
      <c r="N5" s="1292"/>
      <c r="O5" s="1292"/>
      <c r="P5" s="291"/>
      <c r="Q5" s="289"/>
      <c r="R5" s="290"/>
      <c r="S5" s="1263" t="e">
        <f>INDEX(PT_DIFFERENTIATION_NUM_IST_TE,MATCH(D5,PT_DIFFERENTIATION_IST_TE_ID,0))</f>
        <v>#N/A</v>
      </c>
      <c r="T5" s="248" t="s">
        <v>408</v>
      </c>
      <c r="U5" s="238"/>
      <c r="V5" s="2462"/>
      <c r="W5" s="2463"/>
      <c r="X5" s="2463"/>
      <c r="Y5" s="2463"/>
      <c r="Z5" s="2463"/>
      <c r="AA5" s="2463"/>
      <c r="AB5" s="2463"/>
      <c r="AC5" s="2464"/>
      <c r="AD5" s="2462" t="e">
        <f>INDEX(PT_DIFFERENTIATION_IST_TE,MATCH(D5,PT_DIFFERENTIATION_IST_TE_ID,0))</f>
        <v>#N/A</v>
      </c>
      <c r="AE5" s="2463"/>
      <c r="AF5" s="2463"/>
      <c r="AG5" s="2463"/>
      <c r="AH5" s="2463"/>
      <c r="AI5" s="2463"/>
      <c r="AJ5" s="2463"/>
      <c r="AK5" s="2463"/>
      <c r="AL5" s="2464"/>
      <c r="AM5" s="1185" t="s">
        <v>409</v>
      </c>
      <c r="AO5" s="437"/>
      <c r="AP5" s="437" t="str">
        <f t="shared" si="0"/>
        <v xml:space="preserve">Источник тепловой энергии  </v>
      </c>
      <c r="AQ5" s="437"/>
      <c r="AR5" s="437"/>
      <c r="AS5" s="1082">
        <v>0</v>
      </c>
    </row>
    <row r="6" spans="1:45" ht="47.25" hidden="1" customHeight="1">
      <c r="A6" s="1290"/>
      <c r="B6" s="1290"/>
      <c r="C6" s="1290"/>
      <c r="D6" s="1290"/>
      <c r="E6" s="2469"/>
      <c r="F6" s="2469"/>
      <c r="G6" s="2469"/>
      <c r="H6" s="2469"/>
      <c r="I6" s="2470" t="e">
        <f>S5&amp;".1"</f>
        <v>#N/A</v>
      </c>
      <c r="J6" s="1290"/>
      <c r="K6" s="1290"/>
      <c r="L6" s="1291" t="s">
        <v>410</v>
      </c>
      <c r="M6" s="474"/>
      <c r="P6" s="2472">
        <v>1</v>
      </c>
      <c r="Q6" s="1258"/>
      <c r="R6" s="293"/>
      <c r="S6" s="1263" t="e">
        <f>$I6</f>
        <v>#N/A</v>
      </c>
      <c r="T6" s="223" t="s">
        <v>411</v>
      </c>
      <c r="U6" s="238"/>
      <c r="V6" s="2456"/>
      <c r="W6" s="2457"/>
      <c r="X6" s="2457"/>
      <c r="Y6" s="2457"/>
      <c r="Z6" s="2457"/>
      <c r="AA6" s="2457"/>
      <c r="AB6" s="2457"/>
      <c r="AC6" s="2458"/>
      <c r="AD6" s="2456"/>
      <c r="AE6" s="2457"/>
      <c r="AF6" s="2457"/>
      <c r="AG6" s="2457"/>
      <c r="AH6" s="2457"/>
      <c r="AI6" s="2457"/>
      <c r="AJ6" s="2457"/>
      <c r="AK6" s="2457"/>
      <c r="AL6" s="2458"/>
      <c r="AM6" s="1185" t="s">
        <v>412</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469"/>
      <c r="F7" s="2469"/>
      <c r="G7" s="2469"/>
      <c r="H7" s="2469"/>
      <c r="I7" s="2471"/>
      <c r="J7" s="2470" t="e">
        <f>I6&amp;".1"</f>
        <v>#N/A</v>
      </c>
      <c r="K7" s="1290"/>
      <c r="L7" s="1291" t="s">
        <v>413</v>
      </c>
      <c r="M7" s="474"/>
      <c r="N7" s="1293"/>
      <c r="P7" s="2472"/>
      <c r="Q7" s="2472">
        <v>1</v>
      </c>
      <c r="R7" s="294"/>
      <c r="S7" s="1263" t="e">
        <f>$J7</f>
        <v>#N/A</v>
      </c>
      <c r="T7" s="224" t="s">
        <v>414</v>
      </c>
      <c r="U7" s="238"/>
      <c r="V7" s="2456"/>
      <c r="W7" s="2457"/>
      <c r="X7" s="2457"/>
      <c r="Y7" s="2457"/>
      <c r="Z7" s="2457"/>
      <c r="AA7" s="2457"/>
      <c r="AB7" s="2457"/>
      <c r="AC7" s="2458"/>
      <c r="AD7" s="2456"/>
      <c r="AE7" s="2457"/>
      <c r="AF7" s="2457"/>
      <c r="AG7" s="2457"/>
      <c r="AH7" s="2457"/>
      <c r="AI7" s="2457"/>
      <c r="AJ7" s="2457"/>
      <c r="AK7" s="2457"/>
      <c r="AL7" s="2458"/>
      <c r="AM7" s="1185" t="s">
        <v>415</v>
      </c>
      <c r="AO7" s="437"/>
      <c r="AP7" s="437" t="str">
        <f t="shared" si="0"/>
        <v>Группа потребителей</v>
      </c>
      <c r="AQ7" s="437"/>
      <c r="AR7" s="437"/>
      <c r="AS7" s="1082">
        <v>0</v>
      </c>
    </row>
    <row r="8" spans="1:45" ht="21" hidden="1" customHeight="1">
      <c r="A8" s="1290"/>
      <c r="B8" s="1290"/>
      <c r="C8" s="1290"/>
      <c r="D8" s="1290"/>
      <c r="E8" s="2469"/>
      <c r="F8" s="2469"/>
      <c r="G8" s="2469"/>
      <c r="H8" s="2469"/>
      <c r="I8" s="2471"/>
      <c r="J8" s="2471"/>
      <c r="K8" s="2470" t="e">
        <f>J7&amp;".1"</f>
        <v>#N/A</v>
      </c>
      <c r="L8" s="1291" t="s">
        <v>416</v>
      </c>
      <c r="M8" s="474"/>
      <c r="N8" s="1293"/>
      <c r="O8" s="1293"/>
      <c r="P8" s="2472"/>
      <c r="Q8" s="2472"/>
      <c r="R8" s="294">
        <v>1</v>
      </c>
      <c r="S8" s="1263" t="e">
        <f>$K8</f>
        <v>#N/A</v>
      </c>
      <c r="T8" s="1274"/>
      <c r="U8" s="238"/>
      <c r="V8" s="263"/>
      <c r="W8" s="688"/>
      <c r="X8" s="263"/>
      <c r="Y8" s="321"/>
      <c r="Z8" s="2473"/>
      <c r="AA8" s="2342" t="s">
        <v>67</v>
      </c>
      <c r="AB8" s="2473"/>
      <c r="AC8" s="2342" t="s">
        <v>67</v>
      </c>
      <c r="AD8" s="263"/>
      <c r="AE8" s="688"/>
      <c r="AF8" s="263"/>
      <c r="AG8" s="321"/>
      <c r="AH8" s="2473"/>
      <c r="AI8" s="2342" t="s">
        <v>67</v>
      </c>
      <c r="AJ8" s="2473"/>
      <c r="AK8" s="2342" t="s">
        <v>67</v>
      </c>
      <c r="AL8" s="263"/>
      <c r="AM8" s="2491" t="s">
        <v>417</v>
      </c>
      <c r="AN8" s="448" t="e">
        <f ca="1">STRCHECKDATE(V9:AL9)</f>
        <v>#NAME?</v>
      </c>
      <c r="AO8" s="437"/>
      <c r="AP8" s="437" t="str">
        <f t="shared" si="0"/>
        <v/>
      </c>
      <c r="AQ8" s="437"/>
      <c r="AR8" s="437"/>
      <c r="AS8" s="1082">
        <v>0</v>
      </c>
    </row>
    <row r="9" spans="1:45" ht="0.75" hidden="1" customHeight="1">
      <c r="A9" s="1290"/>
      <c r="B9" s="1290"/>
      <c r="C9" s="1290"/>
      <c r="D9" s="1290"/>
      <c r="E9" s="2469"/>
      <c r="F9" s="2469"/>
      <c r="G9" s="2469"/>
      <c r="H9" s="2469"/>
      <c r="I9" s="2471"/>
      <c r="J9" s="2471"/>
      <c r="K9" s="2470"/>
      <c r="L9" s="1291"/>
      <c r="M9" s="474"/>
      <c r="N9" s="1293"/>
      <c r="O9" s="1293"/>
      <c r="P9" s="2472"/>
      <c r="Q9" s="2472"/>
      <c r="R9" s="294"/>
      <c r="S9" s="1269"/>
      <c r="T9" s="238"/>
      <c r="U9" s="238"/>
      <c r="V9" s="263"/>
      <c r="W9" s="263"/>
      <c r="X9" s="263"/>
      <c r="Y9" s="266" t="str">
        <f>Z8&amp;"-"&amp;AB8</f>
        <v>-</v>
      </c>
      <c r="Z9" s="2474"/>
      <c r="AA9" s="2342"/>
      <c r="AB9" s="2474"/>
      <c r="AC9" s="2342"/>
      <c r="AD9" s="263"/>
      <c r="AE9" s="263"/>
      <c r="AF9" s="263"/>
      <c r="AG9" s="266" t="str">
        <f>AH8&amp;"-"&amp;AJ8</f>
        <v>-</v>
      </c>
      <c r="AH9" s="2474"/>
      <c r="AI9" s="2342"/>
      <c r="AJ9" s="2474"/>
      <c r="AK9" s="2342"/>
      <c r="AL9" s="263"/>
      <c r="AM9" s="2492"/>
      <c r="AO9" s="437"/>
      <c r="AP9" s="437" t="str">
        <f t="shared" si="0"/>
        <v/>
      </c>
      <c r="AQ9" s="437"/>
      <c r="AR9" s="437"/>
      <c r="AS9" s="1082">
        <v>0</v>
      </c>
    </row>
    <row r="10" spans="1:45" ht="15" hidden="1" customHeight="1">
      <c r="A10" s="1290"/>
      <c r="B10" s="1290"/>
      <c r="C10" s="1290"/>
      <c r="D10" s="1290"/>
      <c r="E10" s="2469"/>
      <c r="F10" s="2469"/>
      <c r="G10" s="2469"/>
      <c r="H10" s="2469"/>
      <c r="I10" s="2471"/>
      <c r="J10" s="2470"/>
      <c r="K10" s="1290"/>
      <c r="L10" s="1291"/>
      <c r="M10" s="474"/>
      <c r="N10" s="1293"/>
      <c r="P10" s="2472"/>
      <c r="Q10" s="2472"/>
      <c r="R10" s="293"/>
      <c r="S10" s="1205"/>
      <c r="T10" s="226" t="s">
        <v>418</v>
      </c>
      <c r="U10" s="304"/>
      <c r="V10" s="304"/>
      <c r="W10" s="304"/>
      <c r="X10" s="304"/>
      <c r="Y10" s="304"/>
      <c r="Z10" s="304"/>
      <c r="AA10" s="304"/>
      <c r="AB10" s="304"/>
      <c r="AC10" s="304"/>
      <c r="AD10" s="304"/>
      <c r="AE10" s="304"/>
      <c r="AF10" s="304"/>
      <c r="AG10" s="304"/>
      <c r="AH10" s="304"/>
      <c r="AI10" s="304"/>
      <c r="AJ10" s="304"/>
      <c r="AK10" s="304"/>
      <c r="AL10" s="262"/>
      <c r="AM10" s="2493"/>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469"/>
      <c r="F11" s="2469"/>
      <c r="G11" s="2469"/>
      <c r="H11" s="2469"/>
      <c r="I11" s="2470"/>
      <c r="J11" s="1290"/>
      <c r="K11" s="1290"/>
      <c r="L11" s="1291"/>
      <c r="M11" s="474"/>
      <c r="P11" s="2472"/>
      <c r="Q11" s="1258"/>
      <c r="R11" s="293"/>
      <c r="S11" s="1205"/>
      <c r="T11" s="225" t="s">
        <v>419</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469"/>
      <c r="F12" s="2469"/>
      <c r="G12" s="2469"/>
      <c r="H12" s="2468"/>
      <c r="I12" s="1290"/>
      <c r="J12" s="1290"/>
      <c r="K12" s="1290"/>
      <c r="L12" s="1291"/>
      <c r="M12" s="1292"/>
      <c r="N12" s="1292"/>
      <c r="O12" s="474"/>
      <c r="P12" s="297"/>
      <c r="Q12" s="312"/>
      <c r="R12" s="292"/>
      <c r="S12" s="1205"/>
      <c r="T12" s="302" t="s">
        <v>420</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469"/>
      <c r="F13" s="2469"/>
      <c r="G13" s="2468"/>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469"/>
      <c r="F14" s="2468"/>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468"/>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466"/>
      <c r="AI17" s="2465" t="s">
        <v>67</v>
      </c>
      <c r="AJ17" s="2466"/>
      <c r="AK17" s="2465" t="s">
        <v>67</v>
      </c>
      <c r="AS17" s="1082">
        <v>0</v>
      </c>
    </row>
    <row r="18" spans="1:45" ht="14.25" hidden="1" customHeight="1">
      <c r="AD18" s="1287"/>
      <c r="AE18" s="1287"/>
      <c r="AF18" s="1287"/>
      <c r="AG18" s="266" t="str">
        <f>AH17&amp;"-"&amp;AJ17</f>
        <v>-</v>
      </c>
      <c r="AH18" s="2465"/>
      <c r="AI18" s="2465"/>
      <c r="AJ18" s="2465"/>
      <c r="AK18" s="2465"/>
      <c r="AS18" s="1082">
        <v>0</v>
      </c>
    </row>
    <row r="19" spans="1:45" ht="14.25" hidden="1" customHeight="1">
      <c r="AK19" s="265"/>
      <c r="AS19" s="1082">
        <v>0</v>
      </c>
    </row>
    <row r="20" spans="1:45" s="1293" customFormat="1" ht="22.5" hidden="1" customHeight="1">
      <c r="L20" s="1256"/>
      <c r="M20" s="1289"/>
      <c r="N20" s="1289"/>
      <c r="O20" s="1294" t="s">
        <v>421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422</v>
      </c>
      <c r="P22" s="1289"/>
      <c r="Q22" s="1298"/>
      <c r="R22" s="1298"/>
      <c r="S22" s="666"/>
      <c r="T22" s="1087" t="s">
        <v>423</v>
      </c>
      <c r="AA22" s="124" t="s">
        <v>424</v>
      </c>
      <c r="AC22" s="124" t="s">
        <v>425</v>
      </c>
      <c r="AD22" s="1087" t="s">
        <v>423</v>
      </c>
      <c r="AI22" s="124" t="s">
        <v>426</v>
      </c>
      <c r="AK22" s="124" t="s">
        <v>425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4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49"/>
      <c r="U26" s="2449"/>
      <c r="V26" s="2449"/>
      <c r="W26" s="2449"/>
      <c r="X26" s="2449"/>
      <c r="Y26" s="2449"/>
      <c r="Z26" s="2449"/>
      <c r="AA26" s="2449"/>
      <c r="AB26" s="2449"/>
      <c r="AC26" s="2449"/>
      <c r="AD26" s="2449"/>
      <c r="AE26" s="2449"/>
      <c r="AF26" s="2449"/>
      <c r="AG26" s="2449"/>
      <c r="AH26" s="2449"/>
      <c r="AI26" s="2449"/>
      <c r="AJ26" s="2449"/>
      <c r="AK26" s="1170"/>
      <c r="AS26" s="1082">
        <v>28</v>
      </c>
    </row>
    <row r="27" spans="1:45" ht="14.65" customHeight="1">
      <c r="Q27" s="313"/>
      <c r="R27" s="313"/>
      <c r="S27" s="2421" t="str">
        <f>IF(org=0,"Не определено",org)</f>
        <v>МУП "Городские тепловые сети" МО  "город Курчатов"</v>
      </c>
      <c r="T27" s="2421"/>
      <c r="U27" s="2421"/>
      <c r="V27" s="2421"/>
      <c r="W27" s="2421"/>
      <c r="X27" s="2421"/>
      <c r="Y27" s="2421"/>
      <c r="Z27" s="2421"/>
      <c r="AA27" s="2421"/>
      <c r="AB27" s="2421"/>
      <c r="AC27" s="2421"/>
      <c r="AD27" s="2421"/>
      <c r="AE27" s="2421"/>
      <c r="AF27" s="2421"/>
      <c r="AG27" s="2421"/>
      <c r="AH27" s="2421"/>
      <c r="AI27" s="2421"/>
      <c r="AJ27" s="2421"/>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459" t="s">
        <v>42</v>
      </c>
      <c r="T29" s="2459"/>
      <c r="U29" s="1299"/>
      <c r="V29" s="2461" t="str">
        <f>IF(TITLE_NAME_OR_PR_CHANGE="",IF(TITLE_NAME_OR_PR="","",TITLE_NAME_OR_PR),TITLE_NAME_OR_PR_CHANGE)</f>
        <v/>
      </c>
      <c r="W29" s="2461"/>
      <c r="X29" s="2461"/>
      <c r="Y29" s="2461"/>
      <c r="Z29" s="2461"/>
      <c r="AA29" s="2461"/>
      <c r="AB29" s="2461"/>
      <c r="AC29" s="264"/>
      <c r="AD29" s="2461" t="str">
        <f>IF(TITLE_NAME_OR_PR_CHANGE="",IF(TITLE_NAME_OR_PR="","",TITLE_NAME_OR_PR),TITLE_NAME_OR_PR_CHANGE)</f>
        <v/>
      </c>
      <c r="AE29" s="2461"/>
      <c r="AF29" s="2461"/>
      <c r="AG29" s="2461"/>
      <c r="AH29" s="2461"/>
      <c r="AI29" s="2461"/>
      <c r="AJ29" s="2461"/>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459" t="s">
        <v>427</v>
      </c>
      <c r="T30" s="2459"/>
      <c r="U30" s="1299"/>
      <c r="V30" s="2460">
        <f>IF(TITLE_DATE_PR_CHANGE="",IF(TITLE_DATE_PR="","",TITLE_DATE_PR),TITLE_DATE_PR_CHANGE)</f>
        <v>45775</v>
      </c>
      <c r="W30" s="2460"/>
      <c r="X30" s="2460"/>
      <c r="Y30" s="2460"/>
      <c r="Z30" s="2460"/>
      <c r="AA30" s="2460"/>
      <c r="AB30" s="2460"/>
      <c r="AC30" s="264"/>
      <c r="AD30" s="2460">
        <f>IF(TITLE_DATE_PR_CHANGE="",IF(TITLE_DATE_PR="","",TITLE_DATE_PR),TITLE_DATE_PR_CHANGE)</f>
        <v>45775</v>
      </c>
      <c r="AE30" s="2460"/>
      <c r="AF30" s="2460"/>
      <c r="AG30" s="2460"/>
      <c r="AH30" s="2460"/>
      <c r="AI30" s="2460"/>
      <c r="AJ30" s="2460"/>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459" t="s">
        <v>428</v>
      </c>
      <c r="T31" s="2459"/>
      <c r="U31" s="1299"/>
      <c r="V31" s="2461" t="str">
        <f>IF(TITLE_NUMBER_PR_CHANGE="",IF(TITLE_NUMBER_PR="","",TITLE_NUMBER_PR),TITLE_NUMBER_PR_CHANGE)</f>
        <v>03.5-1382</v>
      </c>
      <c r="W31" s="2461"/>
      <c r="X31" s="2461"/>
      <c r="Y31" s="2461"/>
      <c r="Z31" s="2461"/>
      <c r="AA31" s="2461"/>
      <c r="AB31" s="2461"/>
      <c r="AC31" s="264"/>
      <c r="AD31" s="2461" t="str">
        <f>IF(TITLE_NUMBER_PR_CHANGE="",IF(TITLE_NUMBER_PR="","",TITLE_NUMBER_PR),TITLE_NUMBER_PR_CHANGE)</f>
        <v>03.5-1382</v>
      </c>
      <c r="AE31" s="2461"/>
      <c r="AF31" s="2461"/>
      <c r="AG31" s="2461"/>
      <c r="AH31" s="2461"/>
      <c r="AI31" s="2461"/>
      <c r="AJ31" s="2461"/>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459" t="s">
        <v>43</v>
      </c>
      <c r="T32" s="2459"/>
      <c r="U32" s="1299"/>
      <c r="V32" s="2461" t="str">
        <f>IF(TITLE_IST_PUB_CHANGE="",IF(TITLE_IST_PUB="","",TITLE_IST_PUB),TITLE_IST_PUB_CHANGE)</f>
        <v/>
      </c>
      <c r="W32" s="2461"/>
      <c r="X32" s="2461"/>
      <c r="Y32" s="2461"/>
      <c r="Z32" s="2461"/>
      <c r="AA32" s="2461"/>
      <c r="AB32" s="2461"/>
      <c r="AC32" s="264"/>
      <c r="AD32" s="2461" t="str">
        <f>IF(TITLE_IST_PUB_CHANGE="",IF(TITLE_IST_PUB="","",TITLE_IST_PUB),TITLE_IST_PUB_CHANGE)</f>
        <v/>
      </c>
      <c r="AE32" s="2461"/>
      <c r="AF32" s="2461"/>
      <c r="AG32" s="2461"/>
      <c r="AH32" s="2461"/>
      <c r="AI32" s="2461"/>
      <c r="AJ32" s="2461"/>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459" t="s">
        <v>429</v>
      </c>
      <c r="T34" s="2459"/>
      <c r="U34" s="1299"/>
      <c r="V34" s="2460">
        <f>IF(TITLE_DATE_PR_CHANGE="",IF(TITLE_DATE_PR="","",TITLE_DATE_PR),TITLE_DATE_PR_CHANGE)</f>
        <v>45775</v>
      </c>
      <c r="W34" s="2460"/>
      <c r="X34" s="2460"/>
      <c r="Y34" s="2460"/>
      <c r="Z34" s="2460"/>
      <c r="AA34" s="2460"/>
      <c r="AB34" s="2460"/>
      <c r="AC34" s="264"/>
      <c r="AD34" s="2460">
        <f>IF(TITLE_DATE_PR_CHANGE="",IF(TITLE_DATE_PR="","",TITLE_DATE_PR),TITLE_DATE_PR_CHANGE)</f>
        <v>45775</v>
      </c>
      <c r="AE34" s="2460"/>
      <c r="AF34" s="2460"/>
      <c r="AG34" s="2460"/>
      <c r="AH34" s="2460"/>
      <c r="AI34" s="2460"/>
      <c r="AJ34" s="2460"/>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459" t="s">
        <v>430</v>
      </c>
      <c r="T35" s="2459"/>
      <c r="U35" s="1299"/>
      <c r="V35" s="2461" t="str">
        <f>IF(TITLE_NUMBER_PR_CHANGE="",IF(TITLE_NUMBER_PR="","",TITLE_NUMBER_PR),TITLE_NUMBER_PR_CHANGE)</f>
        <v>03.5-1382</v>
      </c>
      <c r="W35" s="2461"/>
      <c r="X35" s="2461"/>
      <c r="Y35" s="2461"/>
      <c r="Z35" s="2461"/>
      <c r="AA35" s="2461"/>
      <c r="AB35" s="2461"/>
      <c r="AC35" s="264"/>
      <c r="AD35" s="2461" t="str">
        <f>IF(TITLE_NUMBER_PR_CHANGE="",IF(TITLE_NUMBER_PR="","",TITLE_NUMBER_PR),TITLE_NUMBER_PR_CHANGE)</f>
        <v>03.5-1382</v>
      </c>
      <c r="AE35" s="2461"/>
      <c r="AF35" s="2461"/>
      <c r="AG35" s="2461"/>
      <c r="AH35" s="2461"/>
      <c r="AI35" s="2461"/>
      <c r="AJ35" s="2461"/>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431</v>
      </c>
      <c r="AD36" s="264"/>
      <c r="AE36" s="264"/>
      <c r="AF36" s="264"/>
      <c r="AG36" s="264"/>
      <c r="AH36" s="264"/>
      <c r="AI36" s="264"/>
      <c r="AJ36" s="264"/>
      <c r="AK36" s="216" t="s">
        <v>431</v>
      </c>
      <c r="AN36" s="305"/>
      <c r="AO36" s="305"/>
      <c r="AP36" s="305"/>
      <c r="AQ36" s="305"/>
      <c r="AR36" s="305"/>
      <c r="AS36" s="355">
        <v>0</v>
      </c>
    </row>
    <row r="37" spans="1:45" ht="14.65" customHeight="1">
      <c r="Q37" s="313"/>
      <c r="R37" s="313"/>
      <c r="S37" s="1202"/>
      <c r="T37" s="300"/>
      <c r="U37" s="1171"/>
      <c r="V37" s="2480"/>
      <c r="W37" s="2480"/>
      <c r="X37" s="2480"/>
      <c r="Y37" s="2480"/>
      <c r="Z37" s="2480"/>
      <c r="AA37" s="2480"/>
      <c r="AB37" s="2480"/>
      <c r="AC37" s="2480"/>
      <c r="AD37" s="2480"/>
      <c r="AE37" s="2480"/>
      <c r="AF37" s="2480"/>
      <c r="AG37" s="2480"/>
      <c r="AH37" s="2480"/>
      <c r="AI37" s="2480"/>
      <c r="AJ37" s="2480"/>
      <c r="AK37" s="2480"/>
      <c r="AS37" s="1082">
        <v>14</v>
      </c>
    </row>
    <row r="38" spans="1:45" ht="14.65" customHeight="1">
      <c r="Q38" s="313"/>
      <c r="R38" s="313"/>
      <c r="S38" s="2332" t="s">
        <v>307</v>
      </c>
      <c r="T38" s="2332"/>
      <c r="U38" s="2332"/>
      <c r="V38" s="2332"/>
      <c r="W38" s="2332"/>
      <c r="X38" s="2332"/>
      <c r="Y38" s="2332"/>
      <c r="Z38" s="2332"/>
      <c r="AA38" s="2332"/>
      <c r="AB38" s="2332"/>
      <c r="AC38" s="2332"/>
      <c r="AD38" s="2332"/>
      <c r="AE38" s="2332"/>
      <c r="AF38" s="2332"/>
      <c r="AG38" s="2332"/>
      <c r="AH38" s="2332"/>
      <c r="AI38" s="2332"/>
      <c r="AJ38" s="2332"/>
      <c r="AK38" s="2332"/>
      <c r="AL38" s="2332"/>
      <c r="AM38" s="2332" t="s">
        <v>308</v>
      </c>
      <c r="AS38" s="1082">
        <v>14</v>
      </c>
    </row>
    <row r="39" spans="1:45" ht="14.65" customHeight="1">
      <c r="Q39" s="313"/>
      <c r="R39" s="313"/>
      <c r="S39" s="2481" t="s">
        <v>89</v>
      </c>
      <c r="T39" s="2429" t="s">
        <v>432</v>
      </c>
      <c r="U39" s="239"/>
      <c r="V39" s="2482" t="s">
        <v>433</v>
      </c>
      <c r="W39" s="2483"/>
      <c r="X39" s="2508"/>
      <c r="Y39" s="2508"/>
      <c r="Z39" s="2483"/>
      <c r="AA39" s="2483"/>
      <c r="AB39" s="2484"/>
      <c r="AC39" s="2485" t="s">
        <v>434</v>
      </c>
      <c r="AD39" s="2482" t="s">
        <v>433</v>
      </c>
      <c r="AE39" s="2483"/>
      <c r="AF39" s="2508"/>
      <c r="AG39" s="2508"/>
      <c r="AH39" s="2483"/>
      <c r="AI39" s="2483"/>
      <c r="AJ39" s="2484"/>
      <c r="AK39" s="2485" t="s">
        <v>435</v>
      </c>
      <c r="AL39" s="2488" t="s">
        <v>436</v>
      </c>
      <c r="AM39" s="2332"/>
      <c r="AS39" s="1082">
        <v>14</v>
      </c>
    </row>
    <row r="40" spans="1:45" ht="24" customHeight="1">
      <c r="Q40" s="313"/>
      <c r="R40" s="313"/>
      <c r="S40" s="2481"/>
      <c r="T40" s="2429"/>
      <c r="U40" s="961"/>
      <c r="V40" s="2506" t="s">
        <v>437</v>
      </c>
      <c r="W40" s="2402" t="s">
        <v>438</v>
      </c>
      <c r="X40" s="1303" t="s">
        <v>439</v>
      </c>
      <c r="Y40" s="1303"/>
      <c r="Z40" s="2319" t="s">
        <v>440</v>
      </c>
      <c r="AA40" s="2319"/>
      <c r="AB40" s="2313"/>
      <c r="AC40" s="2486"/>
      <c r="AD40" s="2506" t="s">
        <v>437</v>
      </c>
      <c r="AE40" s="2402" t="s">
        <v>438</v>
      </c>
      <c r="AF40" s="1303" t="s">
        <v>439</v>
      </c>
      <c r="AG40" s="1303"/>
      <c r="AH40" s="2319" t="s">
        <v>440</v>
      </c>
      <c r="AI40" s="2319"/>
      <c r="AJ40" s="2313"/>
      <c r="AK40" s="2486"/>
      <c r="AL40" s="2489"/>
      <c r="AM40" s="2332"/>
      <c r="AS40" s="1082">
        <v>23</v>
      </c>
    </row>
    <row r="41" spans="1:45" s="1193" customFormat="1" ht="24" customHeight="1">
      <c r="A41" s="1297"/>
      <c r="B41" s="1297" t="s">
        <v>136</v>
      </c>
      <c r="C41" s="1297" t="s">
        <v>137</v>
      </c>
      <c r="D41" s="1297" t="s">
        <v>138</v>
      </c>
      <c r="E41" s="1291" t="s">
        <v>441</v>
      </c>
      <c r="F41" s="1291" t="s">
        <v>442</v>
      </c>
      <c r="G41" s="1291" t="s">
        <v>443</v>
      </c>
      <c r="H41" s="1291" t="s">
        <v>444</v>
      </c>
      <c r="I41" s="1291" t="s">
        <v>445</v>
      </c>
      <c r="J41" s="1291" t="s">
        <v>446</v>
      </c>
      <c r="K41" s="1291" t="s">
        <v>447</v>
      </c>
      <c r="L41" s="1291" t="s">
        <v>422</v>
      </c>
      <c r="M41" s="1289"/>
      <c r="N41" s="1289"/>
      <c r="O41" s="1289"/>
      <c r="P41" s="1255"/>
      <c r="Q41" s="313"/>
      <c r="R41" s="313"/>
      <c r="S41" s="2481"/>
      <c r="T41" s="2429"/>
      <c r="U41" s="240"/>
      <c r="V41" s="2507"/>
      <c r="W41" s="2407"/>
      <c r="X41" s="1300" t="s">
        <v>448</v>
      </c>
      <c r="Y41" s="1300" t="s">
        <v>449</v>
      </c>
      <c r="Z41" s="1261" t="s">
        <v>450</v>
      </c>
      <c r="AA41" s="2434" t="s">
        <v>451</v>
      </c>
      <c r="AB41" s="2448"/>
      <c r="AC41" s="2487"/>
      <c r="AD41" s="2507"/>
      <c r="AE41" s="2407"/>
      <c r="AF41" s="1300" t="s">
        <v>448</v>
      </c>
      <c r="AG41" s="1300" t="s">
        <v>449</v>
      </c>
      <c r="AH41" s="1261" t="s">
        <v>450</v>
      </c>
      <c r="AI41" s="2434" t="s">
        <v>451</v>
      </c>
      <c r="AJ41" s="2448"/>
      <c r="AK41" s="2487"/>
      <c r="AL41" s="2490"/>
      <c r="AM41" s="2332"/>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8">
        <f ca="1">OFFSET(X42,0,-1)+1</f>
        <v>1</v>
      </c>
      <c r="Y42" s="1268">
        <f ca="1">OFFSET(Y42,0,-1)+1</f>
        <v>2</v>
      </c>
      <c r="Z42" s="1262">
        <f ca="1">OFFSET(Z42,0,-1)+1</f>
        <v>3</v>
      </c>
      <c r="AA42" s="2479">
        <f ca="1">OFFSET(AA42,0,-1)+1</f>
        <v>4</v>
      </c>
      <c r="AB42" s="2479"/>
      <c r="AC42" s="1262">
        <f ca="1">OFFSET(AC42,0,-2)+1</f>
        <v>5</v>
      </c>
      <c r="AD42" s="1262">
        <f ca="1">OFFSET(AD42,0,-1)+1</f>
        <v>6</v>
      </c>
      <c r="AE42" s="1262"/>
      <c r="AF42" s="1268">
        <f ca="1">OFFSET(AF42,0,-1)+1</f>
        <v>1</v>
      </c>
      <c r="AG42" s="1268">
        <f ca="1">OFFSET(AG42,0,-1)+1</f>
        <v>2</v>
      </c>
      <c r="AH42" s="1262">
        <f ca="1">OFFSET(AH42,0,-1)+1</f>
        <v>3</v>
      </c>
      <c r="AI42" s="2479">
        <f ca="1">OFFSET(AI42,0,-1)+1</f>
        <v>4</v>
      </c>
      <c r="AJ42" s="2479"/>
      <c r="AK42" s="1262">
        <f ca="1">OFFSET(AK42,0,-2)+1</f>
        <v>5</v>
      </c>
      <c r="AL42" s="1172">
        <f ca="1">OFFSET(AL42,0,-1)</f>
        <v>5</v>
      </c>
      <c r="AM42" s="1262">
        <f ca="1">OFFSET(AM42,0,-1)+1</f>
        <v>6</v>
      </c>
      <c r="AN42" s="448"/>
      <c r="AO42" s="448"/>
      <c r="AP42" s="448"/>
      <c r="AQ42" s="448"/>
      <c r="AR42" s="448"/>
      <c r="AS42" s="433">
        <v>0</v>
      </c>
    </row>
    <row r="43" spans="1:45" ht="21.95" customHeight="1">
      <c r="A43" s="1290" t="s">
        <v>201</v>
      </c>
      <c r="B43" s="1290"/>
      <c r="C43" s="1290"/>
      <c r="D43" s="1290"/>
      <c r="E43" s="2468">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462"/>
      <c r="W43" s="2463"/>
      <c r="X43" s="2463"/>
      <c r="Y43" s="2463"/>
      <c r="Z43" s="2463"/>
      <c r="AA43" s="2463"/>
      <c r="AB43" s="2463"/>
      <c r="AC43" s="2464"/>
      <c r="AD43" s="2462" t="str">
        <f>INDEX(PT_DIFFERENTIATION_NTAR,MATCH(A43,PT_DIFFERENTIATION_NTAR_ID,0))</f>
        <v/>
      </c>
      <c r="AE43" s="2463"/>
      <c r="AF43" s="2463"/>
      <c r="AG43" s="2463"/>
      <c r="AH43" s="2463"/>
      <c r="AI43" s="2463"/>
      <c r="AJ43" s="2463"/>
      <c r="AK43" s="2463"/>
      <c r="AL43" s="246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201</v>
      </c>
      <c r="B44" s="1290" t="s">
        <v>202</v>
      </c>
      <c r="C44" s="1290"/>
      <c r="D44" s="1290"/>
      <c r="E44" s="2469"/>
      <c r="F44" s="2468">
        <v>1</v>
      </c>
      <c r="G44" s="1290"/>
      <c r="H44" s="1290"/>
      <c r="I44" s="1290"/>
      <c r="J44" s="1290"/>
      <c r="K44" s="1290"/>
      <c r="L44" s="1291"/>
      <c r="M44" s="1292"/>
      <c r="N44" s="1292"/>
      <c r="O44" s="1292"/>
      <c r="P44" s="1259"/>
      <c r="Q44" s="289"/>
      <c r="R44" s="290"/>
      <c r="S44" s="1263" t="str">
        <f>INDEX(PT_DIFFERENTIATION_NUM_TER,MATCH(B44,PT_DIFFERENTIATION_TER_ID,0))</f>
        <v>.</v>
      </c>
      <c r="T44" s="246" t="s">
        <v>404</v>
      </c>
      <c r="U44" s="238"/>
      <c r="V44" s="2462"/>
      <c r="W44" s="2463"/>
      <c r="X44" s="2463"/>
      <c r="Y44" s="2463"/>
      <c r="Z44" s="2463"/>
      <c r="AA44" s="2463"/>
      <c r="AB44" s="2463"/>
      <c r="AC44" s="2464"/>
      <c r="AD44" s="2462" t="str">
        <f>INDEX(PT_DIFFERENTIATION_TER,MATCH(B44,PT_DIFFERENTIATION_TER_ID,0))</f>
        <v/>
      </c>
      <c r="AE44" s="2463"/>
      <c r="AF44" s="2463"/>
      <c r="AG44" s="2463"/>
      <c r="AH44" s="2463"/>
      <c r="AI44" s="2463"/>
      <c r="AJ44" s="2463"/>
      <c r="AK44" s="2463"/>
      <c r="AL44" s="2464"/>
      <c r="AM44" s="1185" t="s">
        <v>405</v>
      </c>
      <c r="AO44" s="437"/>
      <c r="AP44" s="437" t="str">
        <f t="shared" si="1"/>
        <v>Территория действия тарифа</v>
      </c>
      <c r="AQ44" s="437"/>
      <c r="AR44" s="437"/>
      <c r="AS44" s="1082">
        <v>21</v>
      </c>
    </row>
    <row r="45" spans="1:45" ht="24" customHeight="1">
      <c r="A45" s="1290" t="s">
        <v>201</v>
      </c>
      <c r="B45" s="1290" t="s">
        <v>202</v>
      </c>
      <c r="C45" s="1290" t="s">
        <v>203</v>
      </c>
      <c r="D45" s="1290"/>
      <c r="E45" s="2469"/>
      <c r="F45" s="2469"/>
      <c r="G45" s="2468">
        <v>1</v>
      </c>
      <c r="H45" s="1290"/>
      <c r="I45" s="1290"/>
      <c r="J45" s="1290"/>
      <c r="K45" s="1290"/>
      <c r="L45" s="1291"/>
      <c r="M45" s="1292"/>
      <c r="N45" s="1292"/>
      <c r="O45" s="1292"/>
      <c r="P45" s="291"/>
      <c r="Q45" s="289"/>
      <c r="R45" s="290"/>
      <c r="S45" s="1263" t="str">
        <f>INDEX(PT_DIFFERENTIATION_NUM_CS,MATCH(C45,PT_DIFFERENTIATION_CS_ID,0))</f>
        <v>..</v>
      </c>
      <c r="T45" s="247" t="s">
        <v>406</v>
      </c>
      <c r="U45" s="238"/>
      <c r="V45" s="2462"/>
      <c r="W45" s="2463"/>
      <c r="X45" s="2463"/>
      <c r="Y45" s="2463"/>
      <c r="Z45" s="2463"/>
      <c r="AA45" s="2463"/>
      <c r="AB45" s="2463"/>
      <c r="AC45" s="2464"/>
      <c r="AD45" s="2462" t="str">
        <f>INDEX(PT_DIFFERENTIATION_CS,MATCH(C45,PT_DIFFERENTIATION_CS_ID,0))</f>
        <v/>
      </c>
      <c r="AE45" s="2463"/>
      <c r="AF45" s="2463"/>
      <c r="AG45" s="2463"/>
      <c r="AH45" s="2463"/>
      <c r="AI45" s="2463"/>
      <c r="AJ45" s="2463"/>
      <c r="AK45" s="2463"/>
      <c r="AL45" s="2464"/>
      <c r="AM45" s="1185" t="s">
        <v>407</v>
      </c>
      <c r="AO45" s="437"/>
      <c r="AP45" s="437" t="str">
        <f t="shared" si="1"/>
        <v xml:space="preserve">Наименование системы теплоснабжения </v>
      </c>
      <c r="AQ45" s="437"/>
      <c r="AR45" s="437"/>
      <c r="AS45" s="1082">
        <v>23</v>
      </c>
    </row>
    <row r="46" spans="1:45" ht="21.95" customHeight="1">
      <c r="A46" s="1290" t="s">
        <v>201</v>
      </c>
      <c r="B46" s="1290" t="s">
        <v>202</v>
      </c>
      <c r="C46" s="1290" t="s">
        <v>203</v>
      </c>
      <c r="D46" s="1290" t="s">
        <v>204</v>
      </c>
      <c r="E46" s="2469"/>
      <c r="F46" s="2469"/>
      <c r="G46" s="2469"/>
      <c r="H46" s="2468">
        <v>1</v>
      </c>
      <c r="I46" s="1290"/>
      <c r="J46" s="1290"/>
      <c r="K46" s="1290"/>
      <c r="L46" s="1291"/>
      <c r="M46" s="1292"/>
      <c r="N46" s="1292"/>
      <c r="O46" s="1292"/>
      <c r="P46" s="291"/>
      <c r="Q46" s="289"/>
      <c r="R46" s="290"/>
      <c r="S46" s="1263" t="str">
        <f>INDEX(PT_DIFFERENTIATION_NUM_IST_TE,MATCH(D46,PT_DIFFERENTIATION_IST_TE_ID,0))</f>
        <v>...</v>
      </c>
      <c r="T46" s="248" t="s">
        <v>408</v>
      </c>
      <c r="U46" s="238"/>
      <c r="V46" s="2462"/>
      <c r="W46" s="2463"/>
      <c r="X46" s="2463"/>
      <c r="Y46" s="2463"/>
      <c r="Z46" s="2463"/>
      <c r="AA46" s="2463"/>
      <c r="AB46" s="2463"/>
      <c r="AC46" s="2464"/>
      <c r="AD46" s="2462" t="str">
        <f>INDEX(PT_DIFFERENTIATION_IST_TE,MATCH(D46,PT_DIFFERENTIATION_IST_TE_ID,0))</f>
        <v/>
      </c>
      <c r="AE46" s="2463"/>
      <c r="AF46" s="2463"/>
      <c r="AG46" s="2463"/>
      <c r="AH46" s="2463"/>
      <c r="AI46" s="2463"/>
      <c r="AJ46" s="2463"/>
      <c r="AK46" s="2463"/>
      <c r="AL46" s="2464"/>
      <c r="AM46" s="1185" t="s">
        <v>409</v>
      </c>
      <c r="AO46" s="437"/>
      <c r="AP46" s="437" t="str">
        <f t="shared" si="1"/>
        <v xml:space="preserve">Источник тепловой энергии  </v>
      </c>
      <c r="AQ46" s="437"/>
      <c r="AR46" s="437"/>
      <c r="AS46" s="1082">
        <v>21</v>
      </c>
    </row>
    <row r="47" spans="1:45" ht="49.5" customHeight="1">
      <c r="A47" s="1290" t="s">
        <v>201</v>
      </c>
      <c r="B47" s="1290" t="s">
        <v>202</v>
      </c>
      <c r="C47" s="1290" t="s">
        <v>203</v>
      </c>
      <c r="D47" s="1290" t="s">
        <v>204</v>
      </c>
      <c r="E47" s="2469"/>
      <c r="F47" s="2469"/>
      <c r="G47" s="2469"/>
      <c r="H47" s="2469"/>
      <c r="I47" s="2470" t="str">
        <f>S46&amp;".1"</f>
        <v>....1</v>
      </c>
      <c r="J47" s="1290"/>
      <c r="K47" s="1290"/>
      <c r="L47" s="1291" t="s">
        <v>410</v>
      </c>
      <c r="P47" s="2472">
        <v>1</v>
      </c>
      <c r="Q47" s="1258"/>
      <c r="R47" s="293"/>
      <c r="S47" s="1263" t="str">
        <f>$I47</f>
        <v>....1</v>
      </c>
      <c r="T47" s="223" t="s">
        <v>411</v>
      </c>
      <c r="U47" s="238"/>
      <c r="V47" s="2456"/>
      <c r="W47" s="2457"/>
      <c r="X47" s="2457"/>
      <c r="Y47" s="2457"/>
      <c r="Z47" s="2457"/>
      <c r="AA47" s="2457"/>
      <c r="AB47" s="2457"/>
      <c r="AC47" s="2458"/>
      <c r="AD47" s="2456"/>
      <c r="AE47" s="2457"/>
      <c r="AF47" s="2457"/>
      <c r="AG47" s="2457"/>
      <c r="AH47" s="2457"/>
      <c r="AI47" s="2457"/>
      <c r="AJ47" s="2457"/>
      <c r="AK47" s="2457"/>
      <c r="AL47" s="2458"/>
      <c r="AM47" s="1185" t="s">
        <v>412</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201</v>
      </c>
      <c r="B48" s="1290" t="s">
        <v>202</v>
      </c>
      <c r="C48" s="1290" t="s">
        <v>203</v>
      </c>
      <c r="D48" s="1290" t="s">
        <v>204</v>
      </c>
      <c r="E48" s="2469"/>
      <c r="F48" s="2469"/>
      <c r="G48" s="2469"/>
      <c r="H48" s="2469"/>
      <c r="I48" s="2471"/>
      <c r="J48" s="2470" t="str">
        <f>I47&amp;".1"</f>
        <v>....1.1</v>
      </c>
      <c r="K48" s="1290"/>
      <c r="L48" s="1291" t="s">
        <v>413</v>
      </c>
      <c r="P48" s="2472"/>
      <c r="Q48" s="2472">
        <v>1</v>
      </c>
      <c r="R48" s="294"/>
      <c r="S48" s="1263" t="str">
        <f>$J48</f>
        <v>....1.1</v>
      </c>
      <c r="T48" s="224" t="s">
        <v>414</v>
      </c>
      <c r="U48" s="238"/>
      <c r="V48" s="2456"/>
      <c r="W48" s="2457"/>
      <c r="X48" s="2457"/>
      <c r="Y48" s="2457"/>
      <c r="Z48" s="2457"/>
      <c r="AA48" s="2457"/>
      <c r="AB48" s="2457"/>
      <c r="AC48" s="2458"/>
      <c r="AD48" s="2456"/>
      <c r="AE48" s="2457"/>
      <c r="AF48" s="2457"/>
      <c r="AG48" s="2457"/>
      <c r="AH48" s="2457"/>
      <c r="AI48" s="2457"/>
      <c r="AJ48" s="2457"/>
      <c r="AK48" s="2457"/>
      <c r="AL48" s="2458"/>
      <c r="AM48" s="1185" t="s">
        <v>415</v>
      </c>
      <c r="AO48" s="437"/>
      <c r="AP48" s="437" t="str">
        <f t="shared" si="1"/>
        <v>Группа потребителей</v>
      </c>
      <c r="AQ48" s="437"/>
      <c r="AR48" s="437"/>
      <c r="AS48" s="1082">
        <v>21</v>
      </c>
    </row>
    <row r="49" spans="1:45" ht="21.95" customHeight="1">
      <c r="A49" s="1290" t="s">
        <v>201</v>
      </c>
      <c r="B49" s="1290" t="s">
        <v>202</v>
      </c>
      <c r="C49" s="1290" t="s">
        <v>203</v>
      </c>
      <c r="D49" s="1290" t="s">
        <v>204</v>
      </c>
      <c r="E49" s="2469"/>
      <c r="F49" s="2469"/>
      <c r="G49" s="2469"/>
      <c r="H49" s="2469"/>
      <c r="I49" s="2471"/>
      <c r="J49" s="2471"/>
      <c r="K49" s="2470" t="str">
        <f>J48&amp;".1"</f>
        <v>....1.1.1</v>
      </c>
      <c r="L49" s="1291" t="s">
        <v>416</v>
      </c>
      <c r="P49" s="2472"/>
      <c r="Q49" s="2472"/>
      <c r="R49" s="294">
        <v>1</v>
      </c>
      <c r="S49" s="1263" t="str">
        <f>$K49</f>
        <v>....1.1.1</v>
      </c>
      <c r="T49" s="1274"/>
      <c r="U49" s="238"/>
      <c r="V49" s="263"/>
      <c r="W49" s="688"/>
      <c r="X49" s="263"/>
      <c r="Y49" s="321"/>
      <c r="Z49" s="2473"/>
      <c r="AA49" s="2342" t="s">
        <v>67</v>
      </c>
      <c r="AB49" s="2473"/>
      <c r="AC49" s="2342" t="s">
        <v>67</v>
      </c>
      <c r="AD49" s="263"/>
      <c r="AE49" s="688"/>
      <c r="AF49" s="263"/>
      <c r="AG49" s="321"/>
      <c r="AH49" s="2473"/>
      <c r="AI49" s="2342" t="s">
        <v>67</v>
      </c>
      <c r="AJ49" s="2475"/>
      <c r="AK49" s="2342" t="s">
        <v>67</v>
      </c>
      <c r="AL49" s="1275"/>
      <c r="AM49" s="2491" t="s">
        <v>417</v>
      </c>
      <c r="AN49" s="448" t="e">
        <f ca="1">STRCHECKDATE(V50:AL50)</f>
        <v>#NAME?</v>
      </c>
      <c r="AO49" s="437"/>
      <c r="AP49" s="437" t="str">
        <f t="shared" si="1"/>
        <v/>
      </c>
      <c r="AQ49" s="437"/>
      <c r="AR49" s="437"/>
      <c r="AS49" s="1082">
        <v>21</v>
      </c>
    </row>
    <row r="50" spans="1:45" ht="1.1499999999999999" customHeight="1">
      <c r="A50" s="1290" t="s">
        <v>201</v>
      </c>
      <c r="B50" s="1290" t="s">
        <v>202</v>
      </c>
      <c r="C50" s="1290" t="s">
        <v>203</v>
      </c>
      <c r="D50" s="1290" t="s">
        <v>204</v>
      </c>
      <c r="E50" s="2469"/>
      <c r="F50" s="2469"/>
      <c r="G50" s="2469"/>
      <c r="H50" s="2469"/>
      <c r="I50" s="2471"/>
      <c r="J50" s="2471"/>
      <c r="K50" s="2470"/>
      <c r="L50" s="1291"/>
      <c r="P50" s="2472"/>
      <c r="Q50" s="2472"/>
      <c r="R50" s="294"/>
      <c r="S50" s="1269"/>
      <c r="T50" s="238"/>
      <c r="U50" s="238"/>
      <c r="V50" s="263"/>
      <c r="W50" s="263"/>
      <c r="X50" s="263"/>
      <c r="Y50" s="266" t="str">
        <f>Z49&amp;"-"&amp;AB49</f>
        <v>-</v>
      </c>
      <c r="Z50" s="2474"/>
      <c r="AA50" s="2342"/>
      <c r="AB50" s="2474"/>
      <c r="AC50" s="2342"/>
      <c r="AD50" s="263"/>
      <c r="AE50" s="263"/>
      <c r="AF50" s="263"/>
      <c r="AG50" s="266" t="str">
        <f>AH49&amp;"-"&amp;AJ49</f>
        <v>-</v>
      </c>
      <c r="AH50" s="2474"/>
      <c r="AI50" s="2342"/>
      <c r="AJ50" s="2476"/>
      <c r="AK50" s="2342"/>
      <c r="AL50" s="1276"/>
      <c r="AM50" s="2492"/>
      <c r="AO50" s="437"/>
      <c r="AP50" s="437" t="str">
        <f t="shared" si="1"/>
        <v/>
      </c>
      <c r="AQ50" s="437"/>
      <c r="AR50" s="437"/>
      <c r="AS50" s="1082">
        <v>1</v>
      </c>
    </row>
    <row r="51" spans="1:45" ht="11.45" customHeight="1">
      <c r="A51" s="1290" t="s">
        <v>201</v>
      </c>
      <c r="B51" s="1290" t="s">
        <v>202</v>
      </c>
      <c r="C51" s="1290" t="s">
        <v>203</v>
      </c>
      <c r="D51" s="1290" t="s">
        <v>204</v>
      </c>
      <c r="E51" s="2469"/>
      <c r="F51" s="2469"/>
      <c r="G51" s="2469"/>
      <c r="H51" s="2469"/>
      <c r="I51" s="2471"/>
      <c r="J51" s="2470"/>
      <c r="K51" s="1290"/>
      <c r="L51" s="1291"/>
      <c r="P51" s="2472"/>
      <c r="Q51" s="2472"/>
      <c r="R51" s="293"/>
      <c r="S51" s="1205"/>
      <c r="T51" s="226" t="s">
        <v>418</v>
      </c>
      <c r="U51" s="304"/>
      <c r="V51" s="304"/>
      <c r="W51" s="304"/>
      <c r="X51" s="304"/>
      <c r="Y51" s="304"/>
      <c r="Z51" s="304"/>
      <c r="AA51" s="304"/>
      <c r="AB51" s="304"/>
      <c r="AC51" s="304"/>
      <c r="AD51" s="304"/>
      <c r="AE51" s="304"/>
      <c r="AF51" s="304"/>
      <c r="AG51" s="304"/>
      <c r="AH51" s="304"/>
      <c r="AI51" s="304"/>
      <c r="AJ51" s="304"/>
      <c r="AK51" s="304"/>
      <c r="AL51" s="262"/>
      <c r="AM51" s="2493"/>
      <c r="AO51" s="437"/>
      <c r="AP51" s="437" t="str">
        <f t="shared" si="1"/>
        <v>Добавить вид теплоносителя (параметры теплоносителя)</v>
      </c>
      <c r="AQ51" s="437"/>
      <c r="AR51" s="437"/>
      <c r="AS51" s="1082">
        <v>11</v>
      </c>
    </row>
    <row r="52" spans="1:45" ht="11.45" customHeight="1">
      <c r="A52" s="1290" t="s">
        <v>201</v>
      </c>
      <c r="B52" s="1290" t="s">
        <v>202</v>
      </c>
      <c r="C52" s="1290" t="s">
        <v>203</v>
      </c>
      <c r="D52" s="1290" t="s">
        <v>204</v>
      </c>
      <c r="E52" s="2469"/>
      <c r="F52" s="2469"/>
      <c r="G52" s="2469"/>
      <c r="H52" s="2469"/>
      <c r="I52" s="2470"/>
      <c r="J52" s="1290"/>
      <c r="K52" s="1290"/>
      <c r="L52" s="1291"/>
      <c r="P52" s="2472"/>
      <c r="Q52" s="1258"/>
      <c r="R52" s="293"/>
      <c r="S52" s="1205"/>
      <c r="T52" s="225" t="s">
        <v>419</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201</v>
      </c>
      <c r="B53" s="1290" t="s">
        <v>202</v>
      </c>
      <c r="C53" s="1290" t="s">
        <v>203</v>
      </c>
      <c r="D53" s="1290" t="s">
        <v>204</v>
      </c>
      <c r="E53" s="2469"/>
      <c r="F53" s="2469"/>
      <c r="G53" s="2469"/>
      <c r="H53" s="2468"/>
      <c r="I53" s="1290"/>
      <c r="J53" s="1290"/>
      <c r="K53" s="1290"/>
      <c r="L53" s="1291"/>
      <c r="M53" s="1292"/>
      <c r="N53" s="1292"/>
      <c r="O53" s="474"/>
      <c r="P53" s="297"/>
      <c r="Q53" s="312"/>
      <c r="R53" s="292"/>
      <c r="S53" s="1205"/>
      <c r="T53" s="302" t="s">
        <v>420</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201</v>
      </c>
      <c r="B54" s="1270" t="s">
        <v>202</v>
      </c>
      <c r="C54" s="1270" t="s">
        <v>203</v>
      </c>
      <c r="D54" s="1241"/>
      <c r="E54" s="2469"/>
      <c r="F54" s="2469"/>
      <c r="G54" s="2468"/>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201</v>
      </c>
      <c r="B55" s="1270" t="s">
        <v>202</v>
      </c>
      <c r="C55" s="1241"/>
      <c r="D55" s="1241"/>
      <c r="E55" s="2469"/>
      <c r="F55" s="2468"/>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201</v>
      </c>
      <c r="B56" s="1270"/>
      <c r="C56" s="1270"/>
      <c r="D56" s="1270"/>
      <c r="E56" s="2468"/>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467"/>
      <c r="U59" s="2467"/>
      <c r="V59" s="2467"/>
      <c r="W59" s="2467"/>
      <c r="X59" s="2467"/>
      <c r="Y59" s="2467"/>
      <c r="Z59" s="2467"/>
      <c r="AA59" s="2467"/>
      <c r="AB59" s="2467"/>
      <c r="AC59" s="2467"/>
      <c r="AD59" s="2467"/>
      <c r="AE59" s="2467"/>
      <c r="AF59" s="2467"/>
      <c r="AG59" s="2467"/>
      <c r="AH59" s="2467"/>
      <c r="AI59" s="2467"/>
      <c r="AJ59" s="2467"/>
      <c r="AK59" s="2467"/>
      <c r="AL59" s="2467"/>
      <c r="AM59" s="2467"/>
      <c r="AS59" s="1082">
        <v>27</v>
      </c>
    </row>
    <row r="60" spans="1:45" ht="78.75" customHeight="1">
      <c r="O60" s="474"/>
      <c r="T60" s="2467"/>
      <c r="U60" s="2467"/>
      <c r="V60" s="2467"/>
      <c r="W60" s="2467"/>
      <c r="X60" s="2467"/>
      <c r="Y60" s="2467"/>
      <c r="Z60" s="2467"/>
      <c r="AA60" s="2467"/>
      <c r="AB60" s="2467"/>
      <c r="AC60" s="2467"/>
      <c r="AD60" s="2467"/>
      <c r="AE60" s="2467"/>
      <c r="AF60" s="2467"/>
      <c r="AG60" s="2467"/>
      <c r="AH60" s="2467"/>
      <c r="AI60" s="2467"/>
      <c r="AJ60" s="2467"/>
      <c r="AK60" s="2467"/>
      <c r="AL60" s="2467"/>
      <c r="AM60" s="2467"/>
      <c r="AS60" s="1082">
        <v>75</v>
      </c>
    </row>
    <row r="61" spans="1:45" ht="14.65" customHeight="1">
      <c r="O61" s="474"/>
      <c r="AS61" s="1082">
        <v>14</v>
      </c>
    </row>
    <row r="62" spans="1:45" ht="18.75" customHeight="1">
      <c r="O62" s="474"/>
      <c r="S62" s="1180"/>
      <c r="T62" s="2467"/>
      <c r="U62" s="2467"/>
      <c r="V62" s="2467"/>
      <c r="W62" s="2467"/>
      <c r="X62" s="2467"/>
      <c r="Y62" s="2467"/>
      <c r="Z62" s="2467"/>
      <c r="AA62" s="2467"/>
      <c r="AB62" s="2467"/>
      <c r="AC62" s="2467"/>
      <c r="AD62" s="2467"/>
      <c r="AE62" s="2467"/>
      <c r="AF62" s="2467"/>
      <c r="AG62" s="2467"/>
      <c r="AH62" s="2467"/>
      <c r="AI62" s="2467"/>
      <c r="AJ62" s="2467"/>
      <c r="AK62" s="2467"/>
      <c r="AL62" s="2467"/>
      <c r="AM62" s="2467"/>
      <c r="AS62" s="1082">
        <v>18</v>
      </c>
    </row>
    <row r="63" spans="1:45" ht="18.75" customHeight="1">
      <c r="O63" s="474"/>
      <c r="T63" s="2467"/>
      <c r="U63" s="2467"/>
      <c r="V63" s="2467"/>
      <c r="W63" s="2467"/>
      <c r="X63" s="2467"/>
      <c r="Y63" s="2467"/>
      <c r="Z63" s="2467"/>
      <c r="AA63" s="2467"/>
      <c r="AB63" s="2467"/>
      <c r="AC63" s="2467"/>
      <c r="AD63" s="2467"/>
      <c r="AE63" s="2467"/>
      <c r="AF63" s="2467"/>
      <c r="AG63" s="2467"/>
      <c r="AH63" s="2467"/>
      <c r="AI63" s="2467"/>
      <c r="AJ63" s="2467"/>
      <c r="AK63" s="2467"/>
      <c r="AL63" s="2467"/>
      <c r="AM63" s="2467"/>
      <c r="AS63" s="1082">
        <v>18</v>
      </c>
    </row>
    <row r="64" spans="1:45" ht="39.75" customHeight="1">
      <c r="O64" s="474"/>
      <c r="S64" s="1180"/>
      <c r="T64" s="2467"/>
      <c r="U64" s="2467"/>
      <c r="V64" s="2467"/>
      <c r="W64" s="2467"/>
      <c r="X64" s="2467"/>
      <c r="Y64" s="2467"/>
      <c r="Z64" s="2467"/>
      <c r="AA64" s="2467"/>
      <c r="AB64" s="2467"/>
      <c r="AC64" s="2467"/>
      <c r="AD64" s="2467"/>
      <c r="AE64" s="2467"/>
      <c r="AF64" s="2467"/>
      <c r="AG64" s="2467"/>
      <c r="AH64" s="2467"/>
      <c r="AI64" s="2467"/>
      <c r="AJ64" s="2467"/>
      <c r="AK64" s="2467"/>
      <c r="AL64" s="2467"/>
      <c r="AM64" s="2467"/>
      <c r="AS64" s="1082">
        <v>38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1720F-DD74-D2EC-2CB4-A693A04F9213}">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7109375" style="2008" hidden="1" customWidth="1"/>
    <col min="17" max="18" width="3" style="282" customWidth="1"/>
    <col min="19" max="19" width="12" style="2009"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468">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462"/>
      <c r="W2" s="2463"/>
      <c r="X2" s="2463"/>
      <c r="Y2" s="2463"/>
      <c r="Z2" s="2463"/>
      <c r="AA2" s="2463"/>
      <c r="AB2" s="2463"/>
      <c r="AC2" s="2464"/>
      <c r="AD2" s="2462" t="e">
        <f>INDEX(PT_DIFFERENTIATION_NTAR,MATCH(A2,PT_DIFFERENTIATION_NTAR_ID,0))</f>
        <v>#N/A</v>
      </c>
      <c r="AE2" s="2463"/>
      <c r="AF2" s="2463"/>
      <c r="AG2" s="2463"/>
      <c r="AH2" s="2463"/>
      <c r="AI2" s="2463"/>
      <c r="AJ2" s="2463"/>
      <c r="AK2" s="2463"/>
      <c r="AL2" s="2464"/>
      <c r="AM2" s="1185" t="s">
        <v>403</v>
      </c>
      <c r="AO2" s="437"/>
      <c r="AP2" s="437" t="str">
        <f t="shared" ref="AP2:AP15" si="0">IF(T2="","",T2)</f>
        <v>Наименование тарифа</v>
      </c>
      <c r="AQ2" s="437"/>
      <c r="AR2" s="437"/>
      <c r="AS2" s="1082">
        <v>0</v>
      </c>
    </row>
    <row r="3" spans="1:45" ht="21" hidden="1" customHeight="1">
      <c r="A3" s="1290"/>
      <c r="B3" s="1290"/>
      <c r="C3" s="1290"/>
      <c r="D3" s="1290"/>
      <c r="E3" s="2469"/>
      <c r="F3" s="2468">
        <v>1</v>
      </c>
      <c r="G3" s="1290"/>
      <c r="H3" s="1290"/>
      <c r="I3" s="1290"/>
      <c r="J3" s="1290"/>
      <c r="K3" s="1290"/>
      <c r="L3" s="1291"/>
      <c r="M3" s="1292"/>
      <c r="N3" s="1292"/>
      <c r="O3" s="1292"/>
      <c r="P3" s="1259"/>
      <c r="Q3" s="289"/>
      <c r="R3" s="290"/>
      <c r="S3" s="1263" t="e">
        <f>INDEX(PT_DIFFERENTIATION_NUM_TER,MATCH(B3,PT_DIFFERENTIATION_TER_ID,0))</f>
        <v>#N/A</v>
      </c>
      <c r="T3" s="246" t="s">
        <v>404</v>
      </c>
      <c r="U3" s="238"/>
      <c r="V3" s="2462"/>
      <c r="W3" s="2463"/>
      <c r="X3" s="2463"/>
      <c r="Y3" s="2463"/>
      <c r="Z3" s="2463"/>
      <c r="AA3" s="2463"/>
      <c r="AB3" s="2463"/>
      <c r="AC3" s="2464"/>
      <c r="AD3" s="2462" t="e">
        <f>INDEX(PT_DIFFERENTIATION_TER,MATCH(B3,PT_DIFFERENTIATION_TER_ID,0))</f>
        <v>#N/A</v>
      </c>
      <c r="AE3" s="2463"/>
      <c r="AF3" s="2463"/>
      <c r="AG3" s="2463"/>
      <c r="AH3" s="2463"/>
      <c r="AI3" s="2463"/>
      <c r="AJ3" s="2463"/>
      <c r="AK3" s="2463"/>
      <c r="AL3" s="2464"/>
      <c r="AM3" s="1185" t="s">
        <v>405</v>
      </c>
      <c r="AO3" s="437"/>
      <c r="AP3" s="437" t="str">
        <f t="shared" si="0"/>
        <v>Территория действия тарифа</v>
      </c>
      <c r="AQ3" s="437"/>
      <c r="AR3" s="437"/>
      <c r="AS3" s="1082">
        <v>0</v>
      </c>
    </row>
    <row r="4" spans="1:45" ht="23.25" hidden="1" customHeight="1">
      <c r="A4" s="1290"/>
      <c r="B4" s="1290"/>
      <c r="C4" s="1290"/>
      <c r="D4" s="1290"/>
      <c r="E4" s="2469"/>
      <c r="F4" s="2469"/>
      <c r="G4" s="2468">
        <v>1</v>
      </c>
      <c r="H4" s="1290"/>
      <c r="I4" s="1290"/>
      <c r="J4" s="1290"/>
      <c r="K4" s="1290"/>
      <c r="L4" s="1291"/>
      <c r="M4" s="1292"/>
      <c r="N4" s="1292"/>
      <c r="O4" s="1292"/>
      <c r="P4" s="291"/>
      <c r="Q4" s="289"/>
      <c r="R4" s="290"/>
      <c r="S4" s="1263" t="e">
        <f>INDEX(PT_DIFFERENTIATION_NUM_CS,MATCH(C4,PT_DIFFERENTIATION_CS_ID,0))</f>
        <v>#N/A</v>
      </c>
      <c r="T4" s="247" t="s">
        <v>406</v>
      </c>
      <c r="U4" s="238"/>
      <c r="V4" s="2462"/>
      <c r="W4" s="2463"/>
      <c r="X4" s="2463"/>
      <c r="Y4" s="2463"/>
      <c r="Z4" s="2463"/>
      <c r="AA4" s="2463"/>
      <c r="AB4" s="2463"/>
      <c r="AC4" s="2464"/>
      <c r="AD4" s="2462" t="e">
        <f>INDEX(PT_DIFFERENTIATION_CS,MATCH(C4,PT_DIFFERENTIATION_CS_ID,0))</f>
        <v>#N/A</v>
      </c>
      <c r="AE4" s="2463"/>
      <c r="AF4" s="2463"/>
      <c r="AG4" s="2463"/>
      <c r="AH4" s="2463"/>
      <c r="AI4" s="2463"/>
      <c r="AJ4" s="2463"/>
      <c r="AK4" s="2463"/>
      <c r="AL4" s="2464"/>
      <c r="AM4" s="1185" t="s">
        <v>407</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469"/>
      <c r="F5" s="2469"/>
      <c r="G5" s="2469"/>
      <c r="H5" s="2468">
        <v>1</v>
      </c>
      <c r="I5" s="1290"/>
      <c r="J5" s="1290"/>
      <c r="K5" s="1290"/>
      <c r="L5" s="1291"/>
      <c r="M5" s="1292"/>
      <c r="N5" s="1292"/>
      <c r="O5" s="1292"/>
      <c r="P5" s="291"/>
      <c r="Q5" s="289"/>
      <c r="R5" s="290"/>
      <c r="S5" s="1263" t="e">
        <f>INDEX(PT_DIFFERENTIATION_NUM_IST_TE,MATCH(D5,PT_DIFFERENTIATION_IST_TE_ID,0))</f>
        <v>#N/A</v>
      </c>
      <c r="T5" s="248" t="s">
        <v>408</v>
      </c>
      <c r="U5" s="238"/>
      <c r="V5" s="2462"/>
      <c r="W5" s="2463"/>
      <c r="X5" s="2463"/>
      <c r="Y5" s="2463"/>
      <c r="Z5" s="2463"/>
      <c r="AA5" s="2463"/>
      <c r="AB5" s="2463"/>
      <c r="AC5" s="2464"/>
      <c r="AD5" s="2462" t="e">
        <f>INDEX(PT_DIFFERENTIATION_IST_TE,MATCH(D5,PT_DIFFERENTIATION_IST_TE_ID,0))</f>
        <v>#N/A</v>
      </c>
      <c r="AE5" s="2463"/>
      <c r="AF5" s="2463"/>
      <c r="AG5" s="2463"/>
      <c r="AH5" s="2463"/>
      <c r="AI5" s="2463"/>
      <c r="AJ5" s="2463"/>
      <c r="AK5" s="2463"/>
      <c r="AL5" s="2464"/>
      <c r="AM5" s="1185" t="s">
        <v>409</v>
      </c>
      <c r="AO5" s="437"/>
      <c r="AP5" s="437" t="str">
        <f t="shared" si="0"/>
        <v xml:space="preserve">Источник тепловой энергии  </v>
      </c>
      <c r="AQ5" s="437"/>
      <c r="AR5" s="437"/>
      <c r="AS5" s="1082">
        <v>0</v>
      </c>
    </row>
    <row r="6" spans="1:45" ht="14.25" hidden="1" customHeight="1">
      <c r="A6" s="1290"/>
      <c r="B6" s="1290"/>
      <c r="C6" s="1290"/>
      <c r="D6" s="1290"/>
      <c r="E6" s="2469"/>
      <c r="F6" s="2469"/>
      <c r="G6" s="2469"/>
      <c r="H6" s="2469"/>
      <c r="I6" s="2470" t="e">
        <f>S5&amp;".1"</f>
        <v>#N/A</v>
      </c>
      <c r="J6" s="1290"/>
      <c r="K6" s="1290"/>
      <c r="L6" s="1291" t="s">
        <v>410</v>
      </c>
      <c r="M6" s="474"/>
      <c r="P6" s="2472">
        <v>1</v>
      </c>
      <c r="Q6" s="1258"/>
      <c r="R6" s="293"/>
      <c r="S6" s="972"/>
      <c r="T6" s="1310"/>
      <c r="U6" s="1311"/>
      <c r="V6" s="2509"/>
      <c r="W6" s="2510"/>
      <c r="X6" s="2510"/>
      <c r="Y6" s="2510"/>
      <c r="Z6" s="2510"/>
      <c r="AA6" s="2510"/>
      <c r="AB6" s="2510"/>
      <c r="AC6" s="2511"/>
      <c r="AD6" s="2509"/>
      <c r="AE6" s="2510"/>
      <c r="AF6" s="2510"/>
      <c r="AG6" s="2510"/>
      <c r="AH6" s="2510"/>
      <c r="AI6" s="2510"/>
      <c r="AJ6" s="2510"/>
      <c r="AK6" s="2510"/>
      <c r="AL6" s="2511"/>
      <c r="AM6" s="1312"/>
      <c r="AO6" s="437"/>
      <c r="AP6" s="437" t="str">
        <f t="shared" si="0"/>
        <v/>
      </c>
      <c r="AQ6" s="437"/>
      <c r="AR6" s="437"/>
      <c r="AS6" s="1082">
        <v>0</v>
      </c>
    </row>
    <row r="7" spans="1:45" ht="21" hidden="1" customHeight="1">
      <c r="A7" s="1290"/>
      <c r="B7" s="1290"/>
      <c r="C7" s="1290"/>
      <c r="D7" s="1290"/>
      <c r="E7" s="2469"/>
      <c r="F7" s="2469"/>
      <c r="G7" s="2469"/>
      <c r="H7" s="2469"/>
      <c r="I7" s="2471"/>
      <c r="J7" s="2470" t="e">
        <f>I6&amp;".1"</f>
        <v>#N/A</v>
      </c>
      <c r="K7" s="1290"/>
      <c r="L7" s="1291" t="s">
        <v>413</v>
      </c>
      <c r="M7" s="474"/>
      <c r="N7" s="1293"/>
      <c r="P7" s="2472"/>
      <c r="Q7" s="2472">
        <v>1</v>
      </c>
      <c r="R7" s="294"/>
      <c r="S7" s="1263" t="e">
        <f>$J7</f>
        <v>#N/A</v>
      </c>
      <c r="T7" s="224" t="s">
        <v>414</v>
      </c>
      <c r="U7" s="238"/>
      <c r="V7" s="2456"/>
      <c r="W7" s="2457"/>
      <c r="X7" s="2457"/>
      <c r="Y7" s="2457"/>
      <c r="Z7" s="2457"/>
      <c r="AA7" s="2457"/>
      <c r="AB7" s="2457"/>
      <c r="AC7" s="2458"/>
      <c r="AD7" s="2456"/>
      <c r="AE7" s="2457"/>
      <c r="AF7" s="2457"/>
      <c r="AG7" s="2457"/>
      <c r="AH7" s="2457"/>
      <c r="AI7" s="2457"/>
      <c r="AJ7" s="2457"/>
      <c r="AK7" s="2457"/>
      <c r="AL7" s="2458"/>
      <c r="AM7" s="1185" t="s">
        <v>415</v>
      </c>
      <c r="AO7" s="437"/>
      <c r="AP7" s="437" t="str">
        <f t="shared" si="0"/>
        <v>Группа потребителей</v>
      </c>
      <c r="AQ7" s="437"/>
      <c r="AR7" s="437"/>
      <c r="AS7" s="1082">
        <v>0</v>
      </c>
    </row>
    <row r="8" spans="1:45" ht="21" hidden="1" customHeight="1">
      <c r="A8" s="1290"/>
      <c r="B8" s="1290"/>
      <c r="C8" s="1290"/>
      <c r="D8" s="1290"/>
      <c r="E8" s="2469"/>
      <c r="F8" s="2469"/>
      <c r="G8" s="2469"/>
      <c r="H8" s="2469"/>
      <c r="I8" s="2471"/>
      <c r="J8" s="2471"/>
      <c r="K8" s="2470" t="e">
        <f>J7&amp;".1"</f>
        <v>#N/A</v>
      </c>
      <c r="L8" s="1291" t="s">
        <v>416</v>
      </c>
      <c r="M8" s="474"/>
      <c r="N8" s="1293"/>
      <c r="O8" s="1293"/>
      <c r="P8" s="2472"/>
      <c r="Q8" s="2472"/>
      <c r="R8" s="294">
        <v>1</v>
      </c>
      <c r="S8" s="1263" t="e">
        <f>$K8</f>
        <v>#N/A</v>
      </c>
      <c r="T8" s="1274"/>
      <c r="U8" s="238"/>
      <c r="V8" s="688"/>
      <c r="W8" s="263"/>
      <c r="X8" s="688"/>
      <c r="Y8" s="1184"/>
      <c r="Z8" s="2473"/>
      <c r="AA8" s="2342" t="s">
        <v>67</v>
      </c>
      <c r="AB8" s="2473"/>
      <c r="AC8" s="2342" t="s">
        <v>67</v>
      </c>
      <c r="AD8" s="688"/>
      <c r="AE8" s="263"/>
      <c r="AF8" s="688"/>
      <c r="AG8" s="1184"/>
      <c r="AH8" s="2473"/>
      <c r="AI8" s="2342" t="s">
        <v>67</v>
      </c>
      <c r="AJ8" s="2473"/>
      <c r="AK8" s="2342" t="s">
        <v>67</v>
      </c>
      <c r="AL8" s="263"/>
      <c r="AM8" s="2491" t="s">
        <v>417</v>
      </c>
      <c r="AN8" s="448" t="e">
        <f ca="1">STRCHECKDATE(V9:AL9)</f>
        <v>#NAME?</v>
      </c>
      <c r="AO8" s="437"/>
      <c r="AP8" s="437" t="str">
        <f t="shared" si="0"/>
        <v/>
      </c>
      <c r="AQ8" s="437"/>
      <c r="AR8" s="437"/>
      <c r="AS8" s="1082">
        <v>0</v>
      </c>
    </row>
    <row r="9" spans="1:45" ht="0.75" hidden="1" customHeight="1">
      <c r="A9" s="1290"/>
      <c r="B9" s="1290"/>
      <c r="C9" s="1290"/>
      <c r="D9" s="1290"/>
      <c r="E9" s="2469"/>
      <c r="F9" s="2469"/>
      <c r="G9" s="2469"/>
      <c r="H9" s="2469"/>
      <c r="I9" s="2471"/>
      <c r="J9" s="2471"/>
      <c r="K9" s="2470"/>
      <c r="L9" s="1291"/>
      <c r="M9" s="474"/>
      <c r="N9" s="1293"/>
      <c r="O9" s="1293"/>
      <c r="P9" s="2472"/>
      <c r="Q9" s="2472"/>
      <c r="R9" s="294"/>
      <c r="S9" s="1269"/>
      <c r="T9" s="238"/>
      <c r="U9" s="238"/>
      <c r="V9" s="263"/>
      <c r="W9" s="263"/>
      <c r="X9" s="263"/>
      <c r="Y9" s="266" t="str">
        <f>Z8&amp;"-"&amp;AB8</f>
        <v>-</v>
      </c>
      <c r="Z9" s="2474"/>
      <c r="AA9" s="2342"/>
      <c r="AB9" s="2474"/>
      <c r="AC9" s="2342"/>
      <c r="AD9" s="263"/>
      <c r="AE9" s="263"/>
      <c r="AF9" s="263"/>
      <c r="AG9" s="266" t="str">
        <f>AH8&amp;"-"&amp;AJ8</f>
        <v>-</v>
      </c>
      <c r="AH9" s="2474"/>
      <c r="AI9" s="2342"/>
      <c r="AJ9" s="2474"/>
      <c r="AK9" s="2342"/>
      <c r="AL9" s="263"/>
      <c r="AM9" s="2492"/>
      <c r="AO9" s="437"/>
      <c r="AP9" s="437" t="str">
        <f t="shared" si="0"/>
        <v/>
      </c>
      <c r="AQ9" s="437"/>
      <c r="AR9" s="437"/>
      <c r="AS9" s="1082">
        <v>0</v>
      </c>
    </row>
    <row r="10" spans="1:45" ht="15" hidden="1" customHeight="1">
      <c r="A10" s="1290"/>
      <c r="B10" s="1290"/>
      <c r="C10" s="1290"/>
      <c r="D10" s="1290"/>
      <c r="E10" s="2469"/>
      <c r="F10" s="2469"/>
      <c r="G10" s="2469"/>
      <c r="H10" s="2469"/>
      <c r="I10" s="2471"/>
      <c r="J10" s="2470"/>
      <c r="K10" s="1290"/>
      <c r="L10" s="1291"/>
      <c r="M10" s="474"/>
      <c r="N10" s="1293"/>
      <c r="P10" s="2472"/>
      <c r="Q10" s="2472"/>
      <c r="R10" s="293"/>
      <c r="S10" s="1205"/>
      <c r="T10" s="225" t="s">
        <v>418</v>
      </c>
      <c r="U10" s="304"/>
      <c r="V10" s="304"/>
      <c r="W10" s="304"/>
      <c r="X10" s="304"/>
      <c r="Y10" s="304"/>
      <c r="Z10" s="304"/>
      <c r="AA10" s="304"/>
      <c r="AB10" s="304"/>
      <c r="AC10" s="304"/>
      <c r="AD10" s="304"/>
      <c r="AE10" s="304"/>
      <c r="AF10" s="304"/>
      <c r="AG10" s="304"/>
      <c r="AH10" s="304"/>
      <c r="AI10" s="304"/>
      <c r="AJ10" s="304"/>
      <c r="AK10" s="304"/>
      <c r="AL10" s="262"/>
      <c r="AM10" s="2493"/>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469"/>
      <c r="F11" s="2469"/>
      <c r="G11" s="2469"/>
      <c r="H11" s="2469"/>
      <c r="I11" s="2470"/>
      <c r="J11" s="1290"/>
      <c r="K11" s="1290"/>
      <c r="L11" s="1291"/>
      <c r="M11" s="474"/>
      <c r="P11" s="2472"/>
      <c r="Q11" s="1258"/>
      <c r="R11" s="293"/>
      <c r="S11" s="1205"/>
      <c r="T11" s="302" t="s">
        <v>419</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469"/>
      <c r="F12" s="2469"/>
      <c r="G12" s="2469"/>
      <c r="H12" s="2468"/>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469"/>
      <c r="F13" s="2469"/>
      <c r="G13" s="2468"/>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469"/>
      <c r="F14" s="2468"/>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468"/>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466"/>
      <c r="AI17" s="2465" t="s">
        <v>67</v>
      </c>
      <c r="AJ17" s="2466"/>
      <c r="AK17" s="2465" t="s">
        <v>67</v>
      </c>
      <c r="AS17" s="1082">
        <v>0</v>
      </c>
    </row>
    <row r="18" spans="1:45" ht="14.25" hidden="1" customHeight="1">
      <c r="AD18" s="1287"/>
      <c r="AE18" s="1287"/>
      <c r="AF18" s="1287"/>
      <c r="AG18" s="266" t="str">
        <f>AH17&amp;"-"&amp;AJ17</f>
        <v>-</v>
      </c>
      <c r="AH18" s="2465"/>
      <c r="AI18" s="2465"/>
      <c r="AJ18" s="2465"/>
      <c r="AK18" s="2465"/>
      <c r="AS18" s="1082">
        <v>0</v>
      </c>
    </row>
    <row r="19" spans="1:45" ht="14.25" hidden="1" customHeight="1">
      <c r="AK19" s="265"/>
      <c r="AS19" s="1082">
        <v>0</v>
      </c>
    </row>
    <row r="20" spans="1:45" s="1293" customFormat="1" ht="22.5" hidden="1" customHeight="1">
      <c r="L20" s="1256"/>
      <c r="M20" s="1289"/>
      <c r="N20" s="1289"/>
      <c r="O20" s="1294" t="s">
        <v>421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422</v>
      </c>
      <c r="P22" s="1289"/>
      <c r="Q22" s="1298"/>
      <c r="R22" s="1298"/>
      <c r="S22" s="666"/>
      <c r="T22" s="1087" t="s">
        <v>423</v>
      </c>
      <c r="AA22" s="124" t="s">
        <v>424</v>
      </c>
      <c r="AC22" s="124" t="s">
        <v>425</v>
      </c>
      <c r="AD22" s="1087" t="s">
        <v>423</v>
      </c>
      <c r="AI22" s="124" t="s">
        <v>426</v>
      </c>
      <c r="AK22" s="124" t="s">
        <v>425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4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49"/>
      <c r="U26" s="2449"/>
      <c r="V26" s="2449"/>
      <c r="W26" s="2449"/>
      <c r="X26" s="2449"/>
      <c r="Y26" s="2449"/>
      <c r="Z26" s="2449"/>
      <c r="AA26" s="2449"/>
      <c r="AB26" s="2449"/>
      <c r="AC26" s="2449"/>
      <c r="AD26" s="2449"/>
      <c r="AE26" s="2449"/>
      <c r="AF26" s="2449"/>
      <c r="AG26" s="2449"/>
      <c r="AH26" s="2449"/>
      <c r="AI26" s="2449"/>
      <c r="AJ26" s="2449"/>
      <c r="AK26" s="1170"/>
      <c r="AS26" s="1082">
        <v>60</v>
      </c>
    </row>
    <row r="27" spans="1:45" ht="14.65" customHeight="1">
      <c r="Q27" s="313"/>
      <c r="R27" s="313"/>
      <c r="S27" s="2421" t="str">
        <f>IF(org=0,"Не определено",org)</f>
        <v>МУП "Городские тепловые сети" МО  "город Курчатов"</v>
      </c>
      <c r="T27" s="2421"/>
      <c r="U27" s="2421"/>
      <c r="V27" s="2421"/>
      <c r="W27" s="2421"/>
      <c r="X27" s="2421"/>
      <c r="Y27" s="2421"/>
      <c r="Z27" s="2421"/>
      <c r="AA27" s="2421"/>
      <c r="AB27" s="2421"/>
      <c r="AC27" s="2421"/>
      <c r="AD27" s="2421"/>
      <c r="AE27" s="2421"/>
      <c r="AF27" s="2421"/>
      <c r="AG27" s="2421"/>
      <c r="AH27" s="2421"/>
      <c r="AI27" s="2421"/>
      <c r="AJ27" s="2421"/>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459" t="s">
        <v>42</v>
      </c>
      <c r="T29" s="2459"/>
      <c r="U29" s="1299"/>
      <c r="V29" s="2461" t="str">
        <f>IF(TITLE_NAME_OR_PR_CHANGE="",IF(TITLE_NAME_OR_PR="","",TITLE_NAME_OR_PR),TITLE_NAME_OR_PR_CHANGE)</f>
        <v/>
      </c>
      <c r="W29" s="2461"/>
      <c r="X29" s="2461"/>
      <c r="Y29" s="2461"/>
      <c r="Z29" s="2461"/>
      <c r="AA29" s="2461"/>
      <c r="AB29" s="2461"/>
      <c r="AC29" s="264"/>
      <c r="AD29" s="2461" t="str">
        <f>IF(TITLE_NAME_OR_PR_CHANGE="",IF(TITLE_NAME_OR_PR="","",TITLE_NAME_OR_PR),TITLE_NAME_OR_PR_CHANGE)</f>
        <v/>
      </c>
      <c r="AE29" s="2461"/>
      <c r="AF29" s="2461"/>
      <c r="AG29" s="2461"/>
      <c r="AH29" s="2461"/>
      <c r="AI29" s="2461"/>
      <c r="AJ29" s="2461"/>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459" t="s">
        <v>427</v>
      </c>
      <c r="T30" s="2459"/>
      <c r="U30" s="1299"/>
      <c r="V30" s="2460">
        <f>IF(TITLE_DATE_PR_CHANGE="",IF(TITLE_DATE_PR="","",TITLE_DATE_PR),TITLE_DATE_PR_CHANGE)</f>
        <v>45775</v>
      </c>
      <c r="W30" s="2460"/>
      <c r="X30" s="2460"/>
      <c r="Y30" s="2460"/>
      <c r="Z30" s="2460"/>
      <c r="AA30" s="2460"/>
      <c r="AB30" s="2460"/>
      <c r="AC30" s="264"/>
      <c r="AD30" s="2460">
        <f>IF(TITLE_DATE_PR_CHANGE="",IF(TITLE_DATE_PR="","",TITLE_DATE_PR),TITLE_DATE_PR_CHANGE)</f>
        <v>45775</v>
      </c>
      <c r="AE30" s="2460"/>
      <c r="AF30" s="2460"/>
      <c r="AG30" s="2460"/>
      <c r="AH30" s="2460"/>
      <c r="AI30" s="2460"/>
      <c r="AJ30" s="2460"/>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459" t="s">
        <v>428</v>
      </c>
      <c r="T31" s="2459"/>
      <c r="U31" s="1299"/>
      <c r="V31" s="2461" t="str">
        <f>IF(TITLE_NUMBER_PR_CHANGE="",IF(TITLE_NUMBER_PR="","",TITLE_NUMBER_PR),TITLE_NUMBER_PR_CHANGE)</f>
        <v>03.5-1382</v>
      </c>
      <c r="W31" s="2461"/>
      <c r="X31" s="2461"/>
      <c r="Y31" s="2461"/>
      <c r="Z31" s="2461"/>
      <c r="AA31" s="2461"/>
      <c r="AB31" s="2461"/>
      <c r="AC31" s="264"/>
      <c r="AD31" s="2461" t="str">
        <f>IF(TITLE_NUMBER_PR_CHANGE="",IF(TITLE_NUMBER_PR="","",TITLE_NUMBER_PR),TITLE_NUMBER_PR_CHANGE)</f>
        <v>03.5-1382</v>
      </c>
      <c r="AE31" s="2461"/>
      <c r="AF31" s="2461"/>
      <c r="AG31" s="2461"/>
      <c r="AH31" s="2461"/>
      <c r="AI31" s="2461"/>
      <c r="AJ31" s="2461"/>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459" t="s">
        <v>43</v>
      </c>
      <c r="T32" s="2459"/>
      <c r="U32" s="1299"/>
      <c r="V32" s="2461" t="str">
        <f>IF(TITLE_IST_PUB_CHANGE="",IF(TITLE_IST_PUB="","",TITLE_IST_PUB),TITLE_IST_PUB_CHANGE)</f>
        <v/>
      </c>
      <c r="W32" s="2461"/>
      <c r="X32" s="2461"/>
      <c r="Y32" s="2461"/>
      <c r="Z32" s="2461"/>
      <c r="AA32" s="2461"/>
      <c r="AB32" s="2461"/>
      <c r="AC32" s="264"/>
      <c r="AD32" s="2461" t="str">
        <f>IF(TITLE_IST_PUB_CHANGE="",IF(TITLE_IST_PUB="","",TITLE_IST_PUB),TITLE_IST_PUB_CHANGE)</f>
        <v/>
      </c>
      <c r="AE32" s="2461"/>
      <c r="AF32" s="2461"/>
      <c r="AG32" s="2461"/>
      <c r="AH32" s="2461"/>
      <c r="AI32" s="2461"/>
      <c r="AJ32" s="2461"/>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459" t="s">
        <v>429</v>
      </c>
      <c r="T34" s="2459"/>
      <c r="U34" s="1299"/>
      <c r="V34" s="2460">
        <f>IF(TITLE_DATE_PR_CHANGE="",IF(TITLE_DATE_PR="","",TITLE_DATE_PR),TITLE_DATE_PR_CHANGE)</f>
        <v>45775</v>
      </c>
      <c r="W34" s="2460"/>
      <c r="X34" s="2460"/>
      <c r="Y34" s="2460"/>
      <c r="Z34" s="2460"/>
      <c r="AA34" s="2460"/>
      <c r="AB34" s="2460"/>
      <c r="AC34" s="264"/>
      <c r="AD34" s="2460">
        <f>IF(TITLE_DATE_PR_CHANGE="",IF(TITLE_DATE_PR="","",TITLE_DATE_PR),TITLE_DATE_PR_CHANGE)</f>
        <v>45775</v>
      </c>
      <c r="AE34" s="2460"/>
      <c r="AF34" s="2460"/>
      <c r="AG34" s="2460"/>
      <c r="AH34" s="2460"/>
      <c r="AI34" s="2460"/>
      <c r="AJ34" s="2460"/>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459" t="s">
        <v>430</v>
      </c>
      <c r="T35" s="2459"/>
      <c r="U35" s="1299"/>
      <c r="V35" s="2461" t="str">
        <f>IF(TITLE_NUMBER_PR_CHANGE="",IF(TITLE_NUMBER_PR="","",TITLE_NUMBER_PR),TITLE_NUMBER_PR_CHANGE)</f>
        <v>03.5-1382</v>
      </c>
      <c r="W35" s="2461"/>
      <c r="X35" s="2461"/>
      <c r="Y35" s="2461"/>
      <c r="Z35" s="2461"/>
      <c r="AA35" s="2461"/>
      <c r="AB35" s="2461"/>
      <c r="AC35" s="264"/>
      <c r="AD35" s="2461" t="str">
        <f>IF(TITLE_NUMBER_PR_CHANGE="",IF(TITLE_NUMBER_PR="","",TITLE_NUMBER_PR),TITLE_NUMBER_PR_CHANGE)</f>
        <v>03.5-1382</v>
      </c>
      <c r="AE35" s="2461"/>
      <c r="AF35" s="2461"/>
      <c r="AG35" s="2461"/>
      <c r="AH35" s="2461"/>
      <c r="AI35" s="2461"/>
      <c r="AJ35" s="2461"/>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431</v>
      </c>
      <c r="AD36" s="264"/>
      <c r="AE36" s="264"/>
      <c r="AF36" s="264"/>
      <c r="AG36" s="264"/>
      <c r="AH36" s="264"/>
      <c r="AI36" s="264"/>
      <c r="AJ36" s="264"/>
      <c r="AK36" s="216" t="s">
        <v>431</v>
      </c>
      <c r="AN36" s="305"/>
      <c r="AO36" s="305"/>
      <c r="AP36" s="305"/>
      <c r="AQ36" s="305"/>
      <c r="AR36" s="305"/>
      <c r="AS36" s="355">
        <v>0</v>
      </c>
    </row>
    <row r="37" spans="1:45" ht="14.65" customHeight="1">
      <c r="Q37" s="313"/>
      <c r="R37" s="313"/>
      <c r="S37" s="1202"/>
      <c r="T37" s="300"/>
      <c r="U37" s="1171"/>
      <c r="V37" s="2480"/>
      <c r="W37" s="2480"/>
      <c r="X37" s="2480"/>
      <c r="Y37" s="2480"/>
      <c r="Z37" s="2480"/>
      <c r="AA37" s="2480"/>
      <c r="AB37" s="2480"/>
      <c r="AC37" s="2480"/>
      <c r="AD37" s="2480"/>
      <c r="AE37" s="2480"/>
      <c r="AF37" s="2480"/>
      <c r="AG37" s="2480"/>
      <c r="AH37" s="2480"/>
      <c r="AI37" s="2480"/>
      <c r="AJ37" s="2480"/>
      <c r="AK37" s="2480"/>
      <c r="AS37" s="1082">
        <v>14</v>
      </c>
    </row>
    <row r="38" spans="1:45" ht="14.65" customHeight="1">
      <c r="Q38" s="313"/>
      <c r="R38" s="313"/>
      <c r="S38" s="2332" t="s">
        <v>307</v>
      </c>
      <c r="T38" s="2332"/>
      <c r="U38" s="2332"/>
      <c r="V38" s="2332"/>
      <c r="W38" s="2332"/>
      <c r="X38" s="2332"/>
      <c r="Y38" s="2332"/>
      <c r="Z38" s="2332"/>
      <c r="AA38" s="2332"/>
      <c r="AB38" s="2332"/>
      <c r="AC38" s="2332"/>
      <c r="AD38" s="2332"/>
      <c r="AE38" s="2332"/>
      <c r="AF38" s="2332"/>
      <c r="AG38" s="2332"/>
      <c r="AH38" s="2332"/>
      <c r="AI38" s="2332"/>
      <c r="AJ38" s="2332"/>
      <c r="AK38" s="2332"/>
      <c r="AL38" s="2332"/>
      <c r="AM38" s="2332" t="s">
        <v>308</v>
      </c>
      <c r="AS38" s="1082">
        <v>14</v>
      </c>
    </row>
    <row r="39" spans="1:45" ht="14.65" customHeight="1">
      <c r="Q39" s="313"/>
      <c r="R39" s="313"/>
      <c r="S39" s="2481" t="s">
        <v>89</v>
      </c>
      <c r="T39" s="2429" t="s">
        <v>432</v>
      </c>
      <c r="U39" s="239"/>
      <c r="V39" s="2482" t="s">
        <v>433</v>
      </c>
      <c r="W39" s="2483"/>
      <c r="X39" s="2483"/>
      <c r="Y39" s="2483"/>
      <c r="Z39" s="2483"/>
      <c r="AA39" s="2483"/>
      <c r="AB39" s="2484"/>
      <c r="AC39" s="2485" t="s">
        <v>434</v>
      </c>
      <c r="AD39" s="2482" t="s">
        <v>433</v>
      </c>
      <c r="AE39" s="2483"/>
      <c r="AF39" s="2483"/>
      <c r="AG39" s="2483"/>
      <c r="AH39" s="2483"/>
      <c r="AI39" s="2483"/>
      <c r="AJ39" s="2484"/>
      <c r="AK39" s="2485" t="s">
        <v>435</v>
      </c>
      <c r="AL39" s="2488" t="s">
        <v>436</v>
      </c>
      <c r="AM39" s="2332"/>
      <c r="AS39" s="1082">
        <v>14</v>
      </c>
    </row>
    <row r="40" spans="1:45" ht="35.65" customHeight="1">
      <c r="Q40" s="313"/>
      <c r="R40" s="313"/>
      <c r="S40" s="2481"/>
      <c r="T40" s="2429"/>
      <c r="U40" s="961"/>
      <c r="V40" s="2401" t="s">
        <v>437</v>
      </c>
      <c r="W40" s="2477"/>
      <c r="X40" s="2314" t="s">
        <v>439</v>
      </c>
      <c r="Y40" s="2313"/>
      <c r="Z40" s="2314" t="s">
        <v>440</v>
      </c>
      <c r="AA40" s="2319"/>
      <c r="AB40" s="2313"/>
      <c r="AC40" s="2486"/>
      <c r="AD40" s="2401" t="s">
        <v>458</v>
      </c>
      <c r="AE40" s="2477"/>
      <c r="AF40" s="2314" t="s">
        <v>439</v>
      </c>
      <c r="AG40" s="2313"/>
      <c r="AH40" s="2314" t="s">
        <v>440</v>
      </c>
      <c r="AI40" s="2319"/>
      <c r="AJ40" s="2313"/>
      <c r="AK40" s="2486"/>
      <c r="AL40" s="2489"/>
      <c r="AM40" s="2332"/>
      <c r="AS40" s="1082">
        <v>34</v>
      </c>
    </row>
    <row r="41" spans="1:45" ht="35.65" customHeight="1">
      <c r="A41" s="1297"/>
      <c r="B41" s="1297" t="s">
        <v>136</v>
      </c>
      <c r="C41" s="1297" t="s">
        <v>137</v>
      </c>
      <c r="D41" s="1297" t="s">
        <v>138</v>
      </c>
      <c r="E41" s="1291" t="s">
        <v>441</v>
      </c>
      <c r="F41" s="1291" t="s">
        <v>442</v>
      </c>
      <c r="G41" s="1291" t="s">
        <v>443</v>
      </c>
      <c r="H41" s="1291" t="s">
        <v>444</v>
      </c>
      <c r="I41" s="1291" t="s">
        <v>445</v>
      </c>
      <c r="J41" s="1291" t="s">
        <v>446</v>
      </c>
      <c r="K41" s="1291" t="s">
        <v>447</v>
      </c>
      <c r="L41" s="1291" t="s">
        <v>422</v>
      </c>
      <c r="Q41" s="313"/>
      <c r="R41" s="313"/>
      <c r="S41" s="2481"/>
      <c r="T41" s="2429"/>
      <c r="U41" s="240"/>
      <c r="V41" s="2454"/>
      <c r="W41" s="2478"/>
      <c r="X41" s="1149" t="s">
        <v>448</v>
      </c>
      <c r="Y41" s="1149" t="s">
        <v>449</v>
      </c>
      <c r="Z41" s="1265" t="s">
        <v>450</v>
      </c>
      <c r="AA41" s="2434" t="s">
        <v>451</v>
      </c>
      <c r="AB41" s="2448"/>
      <c r="AC41" s="2487"/>
      <c r="AD41" s="2454"/>
      <c r="AE41" s="2478"/>
      <c r="AF41" s="1149" t="s">
        <v>448</v>
      </c>
      <c r="AG41" s="1149" t="s">
        <v>449</v>
      </c>
      <c r="AH41" s="1265" t="s">
        <v>450</v>
      </c>
      <c r="AI41" s="2434" t="s">
        <v>451</v>
      </c>
      <c r="AJ41" s="2448"/>
      <c r="AK41" s="2487"/>
      <c r="AL41" s="2490"/>
      <c r="AM41" s="2332"/>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479">
        <f ca="1">OFFSET(AA42,0,-1)+1</f>
        <v>4</v>
      </c>
      <c r="AB42" s="2479"/>
      <c r="AC42" s="1262">
        <f ca="1">OFFSET(AC42,0,-2)+1</f>
        <v>5</v>
      </c>
      <c r="AD42" s="1262">
        <f ca="1">OFFSET(AD42,0,-1)+1</f>
        <v>6</v>
      </c>
      <c r="AE42" s="1262"/>
      <c r="AF42" s="1262">
        <f ca="1">OFFSET(AF42,0,-1)+1</f>
        <v>1</v>
      </c>
      <c r="AG42" s="1262">
        <f ca="1">OFFSET(AG42,0,-1)+1</f>
        <v>2</v>
      </c>
      <c r="AH42" s="1262">
        <f ca="1">OFFSET(AH42,0,-1)+1</f>
        <v>3</v>
      </c>
      <c r="AI42" s="2479">
        <f ca="1">OFFSET(AI42,0,-1)+1</f>
        <v>4</v>
      </c>
      <c r="AJ42" s="2479"/>
      <c r="AK42" s="1262">
        <f ca="1">OFFSET(AK42,0,-2)+1</f>
        <v>5</v>
      </c>
      <c r="AL42" s="1172">
        <f ca="1">OFFSET(AL42,0,-1)</f>
        <v>5</v>
      </c>
      <c r="AM42" s="1262">
        <f ca="1">OFFSET(AM42,0,-1)+1</f>
        <v>6</v>
      </c>
      <c r="AN42" s="448"/>
      <c r="AO42" s="448"/>
      <c r="AP42" s="448"/>
      <c r="AQ42" s="448"/>
      <c r="AR42" s="448"/>
      <c r="AS42" s="433">
        <v>0</v>
      </c>
    </row>
    <row r="43" spans="1:45" ht="21.95" customHeight="1">
      <c r="A43" s="1290" t="s">
        <v>175</v>
      </c>
      <c r="B43" s="1290"/>
      <c r="C43" s="1290"/>
      <c r="D43" s="1290"/>
      <c r="E43" s="2468">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462"/>
      <c r="W43" s="2463"/>
      <c r="X43" s="2463"/>
      <c r="Y43" s="2463"/>
      <c r="Z43" s="2463"/>
      <c r="AA43" s="2463"/>
      <c r="AB43" s="2463"/>
      <c r="AC43" s="2464"/>
      <c r="AD43" s="2462" t="str">
        <f>INDEX(PT_DIFFERENTIATION_NTAR,MATCH(A43,PT_DIFFERENTIATION_NTAR_ID,0))</f>
        <v/>
      </c>
      <c r="AE43" s="2463"/>
      <c r="AF43" s="2463"/>
      <c r="AG43" s="2463"/>
      <c r="AH43" s="2463"/>
      <c r="AI43" s="2463"/>
      <c r="AJ43" s="2463"/>
      <c r="AK43" s="2463"/>
      <c r="AL43" s="2464"/>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175</v>
      </c>
      <c r="B44" s="1290" t="s">
        <v>176</v>
      </c>
      <c r="C44" s="1290"/>
      <c r="D44" s="1290"/>
      <c r="E44" s="2469"/>
      <c r="F44" s="2468">
        <v>1</v>
      </c>
      <c r="G44" s="1290"/>
      <c r="H44" s="1290"/>
      <c r="I44" s="1290"/>
      <c r="J44" s="1290"/>
      <c r="K44" s="1290"/>
      <c r="L44" s="1291"/>
      <c r="M44" s="1292"/>
      <c r="N44" s="1292"/>
      <c r="O44" s="1292"/>
      <c r="P44" s="1259"/>
      <c r="Q44" s="289"/>
      <c r="R44" s="290"/>
      <c r="S44" s="1263" t="str">
        <f>INDEX(PT_DIFFERENTIATION_NUM_TER,MATCH(B44,PT_DIFFERENTIATION_TER_ID,0))</f>
        <v>.</v>
      </c>
      <c r="T44" s="246" t="s">
        <v>404</v>
      </c>
      <c r="U44" s="238"/>
      <c r="V44" s="2462"/>
      <c r="W44" s="2463"/>
      <c r="X44" s="2463"/>
      <c r="Y44" s="2463"/>
      <c r="Z44" s="2463"/>
      <c r="AA44" s="2463"/>
      <c r="AB44" s="2463"/>
      <c r="AC44" s="2464"/>
      <c r="AD44" s="2462" t="str">
        <f>INDEX(PT_DIFFERENTIATION_TER,MATCH(B44,PT_DIFFERENTIATION_TER_ID,0))</f>
        <v/>
      </c>
      <c r="AE44" s="2463"/>
      <c r="AF44" s="2463"/>
      <c r="AG44" s="2463"/>
      <c r="AH44" s="2463"/>
      <c r="AI44" s="2463"/>
      <c r="AJ44" s="2463"/>
      <c r="AK44" s="2463"/>
      <c r="AL44" s="2464"/>
      <c r="AM44" s="1185" t="s">
        <v>405</v>
      </c>
      <c r="AO44" s="437"/>
      <c r="AP44" s="437" t="str">
        <f t="shared" si="1"/>
        <v>Территория действия тарифа</v>
      </c>
      <c r="AQ44" s="437"/>
      <c r="AR44" s="437"/>
      <c r="AS44" s="1082">
        <v>21</v>
      </c>
    </row>
    <row r="45" spans="1:45" ht="24" customHeight="1">
      <c r="A45" s="1290" t="s">
        <v>175</v>
      </c>
      <c r="B45" s="1290" t="s">
        <v>176</v>
      </c>
      <c r="C45" s="1290" t="s">
        <v>177</v>
      </c>
      <c r="D45" s="1290"/>
      <c r="E45" s="2469"/>
      <c r="F45" s="2469"/>
      <c r="G45" s="2468">
        <v>1</v>
      </c>
      <c r="H45" s="1290"/>
      <c r="I45" s="1290"/>
      <c r="J45" s="1290"/>
      <c r="K45" s="1290"/>
      <c r="L45" s="1291"/>
      <c r="M45" s="1292"/>
      <c r="N45" s="1292"/>
      <c r="O45" s="1292"/>
      <c r="P45" s="291"/>
      <c r="Q45" s="289"/>
      <c r="R45" s="290"/>
      <c r="S45" s="1263" t="str">
        <f>INDEX(PT_DIFFERENTIATION_NUM_CS,MATCH(C45,PT_DIFFERENTIATION_CS_ID,0))</f>
        <v>..</v>
      </c>
      <c r="T45" s="247" t="s">
        <v>406</v>
      </c>
      <c r="U45" s="238"/>
      <c r="V45" s="2462"/>
      <c r="W45" s="2463"/>
      <c r="X45" s="2463"/>
      <c r="Y45" s="2463"/>
      <c r="Z45" s="2463"/>
      <c r="AA45" s="2463"/>
      <c r="AB45" s="2463"/>
      <c r="AC45" s="2464"/>
      <c r="AD45" s="2462" t="str">
        <f>INDEX(PT_DIFFERENTIATION_CS,MATCH(C45,PT_DIFFERENTIATION_CS_ID,0))</f>
        <v/>
      </c>
      <c r="AE45" s="2463"/>
      <c r="AF45" s="2463"/>
      <c r="AG45" s="2463"/>
      <c r="AH45" s="2463"/>
      <c r="AI45" s="2463"/>
      <c r="AJ45" s="2463"/>
      <c r="AK45" s="2463"/>
      <c r="AL45" s="2464"/>
      <c r="AM45" s="1185" t="s">
        <v>407</v>
      </c>
      <c r="AO45" s="437"/>
      <c r="AP45" s="437" t="str">
        <f t="shared" si="1"/>
        <v xml:space="preserve">Наименование системы теплоснабжения </v>
      </c>
      <c r="AQ45" s="437"/>
      <c r="AR45" s="437"/>
      <c r="AS45" s="1082">
        <v>23</v>
      </c>
    </row>
    <row r="46" spans="1:45" ht="21.95" customHeight="1">
      <c r="A46" s="1290" t="s">
        <v>175</v>
      </c>
      <c r="B46" s="1290" t="s">
        <v>176</v>
      </c>
      <c r="C46" s="1290" t="s">
        <v>177</v>
      </c>
      <c r="D46" s="1290" t="s">
        <v>178</v>
      </c>
      <c r="E46" s="2469"/>
      <c r="F46" s="2469"/>
      <c r="G46" s="2469"/>
      <c r="H46" s="2468">
        <v>1</v>
      </c>
      <c r="I46" s="1290"/>
      <c r="J46" s="1290"/>
      <c r="K46" s="1290"/>
      <c r="L46" s="1291"/>
      <c r="M46" s="1292"/>
      <c r="N46" s="1292"/>
      <c r="O46" s="1292"/>
      <c r="P46" s="291"/>
      <c r="Q46" s="289"/>
      <c r="R46" s="290"/>
      <c r="S46" s="1263" t="str">
        <f>INDEX(PT_DIFFERENTIATION_NUM_IST_TE,MATCH(D46,PT_DIFFERENTIATION_IST_TE_ID,0))</f>
        <v>...</v>
      </c>
      <c r="T46" s="248" t="s">
        <v>408</v>
      </c>
      <c r="U46" s="238"/>
      <c r="V46" s="2462"/>
      <c r="W46" s="2463"/>
      <c r="X46" s="2463"/>
      <c r="Y46" s="2463"/>
      <c r="Z46" s="2463"/>
      <c r="AA46" s="2463"/>
      <c r="AB46" s="2463"/>
      <c r="AC46" s="2464"/>
      <c r="AD46" s="2462" t="str">
        <f>INDEX(PT_DIFFERENTIATION_IST_TE,MATCH(D46,PT_DIFFERENTIATION_IST_TE_ID,0))</f>
        <v/>
      </c>
      <c r="AE46" s="2463"/>
      <c r="AF46" s="2463"/>
      <c r="AG46" s="2463"/>
      <c r="AH46" s="2463"/>
      <c r="AI46" s="2463"/>
      <c r="AJ46" s="2463"/>
      <c r="AK46" s="2463"/>
      <c r="AL46" s="2464"/>
      <c r="AM46" s="1185" t="s">
        <v>409</v>
      </c>
      <c r="AO46" s="437"/>
      <c r="AP46" s="437" t="str">
        <f t="shared" si="1"/>
        <v xml:space="preserve">Источник тепловой энергии  </v>
      </c>
      <c r="AQ46" s="437"/>
      <c r="AR46" s="437"/>
      <c r="AS46" s="1082">
        <v>21</v>
      </c>
    </row>
    <row r="47" spans="1:45" s="1569" customFormat="1" ht="0" hidden="1" customHeight="1">
      <c r="A47" s="1270" t="s">
        <v>175</v>
      </c>
      <c r="B47" s="1270" t="s">
        <v>176</v>
      </c>
      <c r="C47" s="1270" t="s">
        <v>177</v>
      </c>
      <c r="D47" s="1270" t="s">
        <v>178</v>
      </c>
      <c r="E47" s="2469"/>
      <c r="F47" s="2469"/>
      <c r="G47" s="2469"/>
      <c r="H47" s="2469"/>
      <c r="I47" s="2470" t="str">
        <f>S46&amp;".1"</f>
        <v>....1</v>
      </c>
      <c r="J47" s="1270"/>
      <c r="K47" s="1270"/>
      <c r="L47" s="1273" t="s">
        <v>410</v>
      </c>
      <c r="M47" s="447"/>
      <c r="N47" s="447"/>
      <c r="O47" s="447"/>
      <c r="P47" s="2472">
        <v>1</v>
      </c>
      <c r="Q47" s="1258"/>
      <c r="R47" s="293"/>
      <c r="S47" s="972"/>
      <c r="T47" s="1310"/>
      <c r="U47" s="1311"/>
      <c r="V47" s="2509"/>
      <c r="W47" s="2510"/>
      <c r="X47" s="2510"/>
      <c r="Y47" s="2510"/>
      <c r="Z47" s="2510"/>
      <c r="AA47" s="2510"/>
      <c r="AB47" s="2510"/>
      <c r="AC47" s="2511"/>
      <c r="AD47" s="2509"/>
      <c r="AE47" s="2510"/>
      <c r="AF47" s="2510"/>
      <c r="AG47" s="2510"/>
      <c r="AH47" s="2510"/>
      <c r="AI47" s="2510"/>
      <c r="AJ47" s="2510"/>
      <c r="AK47" s="2510"/>
      <c r="AL47" s="2511"/>
      <c r="AM47" s="1312"/>
      <c r="AO47" s="437"/>
      <c r="AP47" s="437" t="str">
        <f t="shared" si="1"/>
        <v/>
      </c>
      <c r="AQ47" s="437"/>
      <c r="AR47" s="437"/>
      <c r="AS47" s="448">
        <v>0</v>
      </c>
    </row>
    <row r="48" spans="1:45" ht="21.95" customHeight="1">
      <c r="A48" s="1290" t="s">
        <v>175</v>
      </c>
      <c r="B48" s="1290" t="s">
        <v>176</v>
      </c>
      <c r="C48" s="1290" t="s">
        <v>177</v>
      </c>
      <c r="D48" s="1290" t="s">
        <v>178</v>
      </c>
      <c r="E48" s="2469"/>
      <c r="F48" s="2469"/>
      <c r="G48" s="2469"/>
      <c r="H48" s="2469"/>
      <c r="I48" s="2471"/>
      <c r="J48" s="2470" t="str">
        <f>S46&amp;".1"</f>
        <v>....1</v>
      </c>
      <c r="K48" s="1290"/>
      <c r="L48" s="1291" t="s">
        <v>413</v>
      </c>
      <c r="P48" s="2472"/>
      <c r="Q48" s="2472">
        <v>1</v>
      </c>
      <c r="R48" s="294"/>
      <c r="S48" s="1263" t="str">
        <f>$J48</f>
        <v>....1</v>
      </c>
      <c r="T48" s="224" t="s">
        <v>414</v>
      </c>
      <c r="U48" s="238"/>
      <c r="V48" s="2456"/>
      <c r="W48" s="2457"/>
      <c r="X48" s="2457"/>
      <c r="Y48" s="2457"/>
      <c r="Z48" s="2457"/>
      <c r="AA48" s="2457"/>
      <c r="AB48" s="2457"/>
      <c r="AC48" s="2458"/>
      <c r="AD48" s="2456"/>
      <c r="AE48" s="2457"/>
      <c r="AF48" s="2457"/>
      <c r="AG48" s="2457"/>
      <c r="AH48" s="2457"/>
      <c r="AI48" s="2457"/>
      <c r="AJ48" s="2457"/>
      <c r="AK48" s="2457"/>
      <c r="AL48" s="2458"/>
      <c r="AM48" s="1185" t="s">
        <v>415</v>
      </c>
      <c r="AO48" s="437"/>
      <c r="AP48" s="437" t="str">
        <f t="shared" si="1"/>
        <v>Группа потребителей</v>
      </c>
      <c r="AQ48" s="437"/>
      <c r="AR48" s="437"/>
      <c r="AS48" s="1082">
        <v>21</v>
      </c>
    </row>
    <row r="49" spans="1:45" ht="21.95" customHeight="1">
      <c r="A49" s="1290" t="s">
        <v>175</v>
      </c>
      <c r="B49" s="1290" t="s">
        <v>176</v>
      </c>
      <c r="C49" s="1290" t="s">
        <v>177</v>
      </c>
      <c r="D49" s="1290" t="s">
        <v>178</v>
      </c>
      <c r="E49" s="2469"/>
      <c r="F49" s="2469"/>
      <c r="G49" s="2469"/>
      <c r="H49" s="2469"/>
      <c r="I49" s="2471"/>
      <c r="J49" s="2471"/>
      <c r="K49" s="2470" t="str">
        <f>J48&amp;".1"</f>
        <v>....1.1</v>
      </c>
      <c r="L49" s="1291" t="s">
        <v>416</v>
      </c>
      <c r="P49" s="2472"/>
      <c r="Q49" s="2472"/>
      <c r="R49" s="294">
        <v>1</v>
      </c>
      <c r="S49" s="1263" t="str">
        <f>$K49</f>
        <v>....1.1</v>
      </c>
      <c r="T49" s="1274"/>
      <c r="U49" s="238"/>
      <c r="V49" s="688"/>
      <c r="W49" s="263"/>
      <c r="X49" s="688"/>
      <c r="Y49" s="1184"/>
      <c r="Z49" s="2473"/>
      <c r="AA49" s="2342" t="s">
        <v>67</v>
      </c>
      <c r="AB49" s="2473"/>
      <c r="AC49" s="2342" t="s">
        <v>67</v>
      </c>
      <c r="AD49" s="688"/>
      <c r="AE49" s="263"/>
      <c r="AF49" s="688"/>
      <c r="AG49" s="1184"/>
      <c r="AH49" s="2473"/>
      <c r="AI49" s="2342" t="s">
        <v>67</v>
      </c>
      <c r="AJ49" s="2475"/>
      <c r="AK49" s="2342" t="s">
        <v>67</v>
      </c>
      <c r="AL49" s="1275"/>
      <c r="AM49" s="2491" t="s">
        <v>459</v>
      </c>
      <c r="AN49" s="448" t="e">
        <f ca="1">STRCHECKDATE(V50:AL50)</f>
        <v>#NAME?</v>
      </c>
      <c r="AO49" s="437"/>
      <c r="AP49" s="437" t="str">
        <f t="shared" si="1"/>
        <v/>
      </c>
      <c r="AQ49" s="437"/>
      <c r="AR49" s="437"/>
      <c r="AS49" s="1082">
        <v>21</v>
      </c>
    </row>
    <row r="50" spans="1:45" ht="1.1499999999999999" customHeight="1">
      <c r="A50" s="1290" t="s">
        <v>175</v>
      </c>
      <c r="B50" s="1290" t="s">
        <v>176</v>
      </c>
      <c r="C50" s="1290" t="s">
        <v>177</v>
      </c>
      <c r="D50" s="1290" t="s">
        <v>178</v>
      </c>
      <c r="E50" s="2469"/>
      <c r="F50" s="2469"/>
      <c r="G50" s="2469"/>
      <c r="H50" s="2469"/>
      <c r="I50" s="2471"/>
      <c r="J50" s="2471"/>
      <c r="K50" s="2470"/>
      <c r="L50" s="1291"/>
      <c r="P50" s="2472"/>
      <c r="Q50" s="2472"/>
      <c r="R50" s="294"/>
      <c r="S50" s="1269"/>
      <c r="T50" s="238"/>
      <c r="U50" s="238"/>
      <c r="V50" s="263"/>
      <c r="W50" s="263"/>
      <c r="X50" s="263"/>
      <c r="Y50" s="266" t="str">
        <f>Z49&amp;"-"&amp;AB49</f>
        <v>-</v>
      </c>
      <c r="Z50" s="2474"/>
      <c r="AA50" s="2342"/>
      <c r="AB50" s="2474"/>
      <c r="AC50" s="2342"/>
      <c r="AD50" s="263"/>
      <c r="AE50" s="263"/>
      <c r="AF50" s="263"/>
      <c r="AG50" s="266" t="str">
        <f>AH49&amp;"-"&amp;AJ49</f>
        <v>-</v>
      </c>
      <c r="AH50" s="2474"/>
      <c r="AI50" s="2342"/>
      <c r="AJ50" s="2476"/>
      <c r="AK50" s="2342"/>
      <c r="AL50" s="1276"/>
      <c r="AM50" s="2492"/>
      <c r="AO50" s="437"/>
      <c r="AP50" s="437" t="str">
        <f t="shared" si="1"/>
        <v/>
      </c>
      <c r="AQ50" s="437"/>
      <c r="AR50" s="437"/>
      <c r="AS50" s="1082">
        <v>1</v>
      </c>
    </row>
    <row r="51" spans="1:45" ht="11.45" customHeight="1">
      <c r="A51" s="1290" t="s">
        <v>175</v>
      </c>
      <c r="B51" s="1290" t="s">
        <v>176</v>
      </c>
      <c r="C51" s="1290" t="s">
        <v>177</v>
      </c>
      <c r="D51" s="1290" t="s">
        <v>178</v>
      </c>
      <c r="E51" s="2469"/>
      <c r="F51" s="2469"/>
      <c r="G51" s="2469"/>
      <c r="H51" s="2469"/>
      <c r="I51" s="2471"/>
      <c r="J51" s="2470"/>
      <c r="K51" s="1290"/>
      <c r="L51" s="1291"/>
      <c r="P51" s="2472"/>
      <c r="Q51" s="2472"/>
      <c r="R51" s="293"/>
      <c r="S51" s="1205"/>
      <c r="T51" s="225" t="s">
        <v>418</v>
      </c>
      <c r="U51" s="304"/>
      <c r="V51" s="304"/>
      <c r="W51" s="304"/>
      <c r="X51" s="304"/>
      <c r="Y51" s="304"/>
      <c r="Z51" s="304"/>
      <c r="AA51" s="304"/>
      <c r="AB51" s="304"/>
      <c r="AC51" s="304"/>
      <c r="AD51" s="304"/>
      <c r="AE51" s="304"/>
      <c r="AF51" s="304"/>
      <c r="AG51" s="304"/>
      <c r="AH51" s="304"/>
      <c r="AI51" s="304"/>
      <c r="AJ51" s="304"/>
      <c r="AK51" s="304"/>
      <c r="AL51" s="262"/>
      <c r="AM51" s="2493"/>
      <c r="AO51" s="437"/>
      <c r="AP51" s="437" t="str">
        <f t="shared" si="1"/>
        <v>Добавить вид теплоносителя (параметры теплоносителя)</v>
      </c>
      <c r="AQ51" s="437"/>
      <c r="AR51" s="437"/>
      <c r="AS51" s="1082">
        <v>11</v>
      </c>
    </row>
    <row r="52" spans="1:45" ht="11.45" customHeight="1">
      <c r="A52" s="1290" t="s">
        <v>175</v>
      </c>
      <c r="B52" s="1290" t="s">
        <v>176</v>
      </c>
      <c r="C52" s="1290" t="s">
        <v>177</v>
      </c>
      <c r="D52" s="1290" t="s">
        <v>178</v>
      </c>
      <c r="E52" s="2469"/>
      <c r="F52" s="2469"/>
      <c r="G52" s="2469"/>
      <c r="H52" s="2469"/>
      <c r="I52" s="2470"/>
      <c r="J52" s="1290"/>
      <c r="K52" s="1290"/>
      <c r="L52" s="1291"/>
      <c r="P52" s="2472"/>
      <c r="Q52" s="1258"/>
      <c r="R52" s="293"/>
      <c r="S52" s="1205"/>
      <c r="T52" s="302" t="s">
        <v>419</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175</v>
      </c>
      <c r="B53" s="1290" t="s">
        <v>176</v>
      </c>
      <c r="C53" s="1290" t="s">
        <v>177</v>
      </c>
      <c r="D53" s="1290" t="s">
        <v>178</v>
      </c>
      <c r="E53" s="2469"/>
      <c r="F53" s="2469"/>
      <c r="G53" s="2469"/>
      <c r="H53" s="2468"/>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175</v>
      </c>
      <c r="B54" s="1270" t="s">
        <v>176</v>
      </c>
      <c r="C54" s="1270" t="s">
        <v>177</v>
      </c>
      <c r="D54" s="1241"/>
      <c r="E54" s="2469"/>
      <c r="F54" s="2469"/>
      <c r="G54" s="2468"/>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175</v>
      </c>
      <c r="B55" s="1270" t="s">
        <v>176</v>
      </c>
      <c r="C55" s="1241"/>
      <c r="D55" s="1241"/>
      <c r="E55" s="2469"/>
      <c r="F55" s="2468"/>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175</v>
      </c>
      <c r="B56" s="1270"/>
      <c r="C56" s="1270"/>
      <c r="D56" s="1270"/>
      <c r="E56" s="2468"/>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467"/>
      <c r="U59" s="2467"/>
      <c r="V59" s="2467"/>
      <c r="W59" s="2467"/>
      <c r="X59" s="2467"/>
      <c r="Y59" s="2467"/>
      <c r="Z59" s="2467"/>
      <c r="AA59" s="2467"/>
      <c r="AB59" s="2467"/>
      <c r="AC59" s="2467"/>
      <c r="AD59" s="2467"/>
      <c r="AE59" s="2467"/>
      <c r="AF59" s="2467"/>
      <c r="AG59" s="2467"/>
      <c r="AH59" s="2467"/>
      <c r="AI59" s="2467"/>
      <c r="AJ59" s="2467"/>
      <c r="AK59" s="2467"/>
      <c r="AL59" s="2467"/>
      <c r="AM59" s="2467"/>
      <c r="AS59" s="1082">
        <v>19</v>
      </c>
    </row>
    <row r="60" spans="1:45" ht="29.25" customHeight="1">
      <c r="O60" s="474"/>
      <c r="T60" s="2467"/>
      <c r="U60" s="2467"/>
      <c r="V60" s="2467"/>
      <c r="W60" s="2467"/>
      <c r="X60" s="2467"/>
      <c r="Y60" s="2467"/>
      <c r="Z60" s="2467"/>
      <c r="AA60" s="2467"/>
      <c r="AB60" s="2467"/>
      <c r="AC60" s="2467"/>
      <c r="AD60" s="2467"/>
      <c r="AE60" s="2467"/>
      <c r="AF60" s="2467"/>
      <c r="AG60" s="2467"/>
      <c r="AH60" s="2467"/>
      <c r="AI60" s="2467"/>
      <c r="AJ60" s="2467"/>
      <c r="AK60" s="2467"/>
      <c r="AL60" s="2467"/>
      <c r="AM60" s="2467"/>
      <c r="AS60" s="1082">
        <v>28</v>
      </c>
    </row>
    <row r="61" spans="1:45" ht="42" customHeight="1">
      <c r="O61" s="474"/>
      <c r="T61" s="2467"/>
      <c r="U61" s="2467"/>
      <c r="V61" s="2467"/>
      <c r="W61" s="2467"/>
      <c r="X61" s="2467"/>
      <c r="Y61" s="2467"/>
      <c r="Z61" s="2467"/>
      <c r="AA61" s="2467"/>
      <c r="AB61" s="2467"/>
      <c r="AC61" s="2467"/>
      <c r="AD61" s="2467"/>
      <c r="AE61" s="2467"/>
      <c r="AF61" s="2467"/>
      <c r="AG61" s="2467"/>
      <c r="AH61" s="2467"/>
      <c r="AI61" s="2467"/>
      <c r="AJ61" s="2467"/>
      <c r="AK61" s="2467"/>
      <c r="AL61" s="2467"/>
      <c r="AM61" s="2467"/>
      <c r="AS61" s="1082">
        <v>40</v>
      </c>
    </row>
    <row r="62" spans="1:45" ht="14.65" customHeight="1">
      <c r="O62" s="474"/>
      <c r="AS62" s="1082">
        <v>14</v>
      </c>
    </row>
    <row r="63" spans="1:45" ht="21" customHeight="1">
      <c r="O63" s="474"/>
      <c r="S63" s="1180"/>
      <c r="T63" s="2372"/>
      <c r="U63" s="2467"/>
      <c r="V63" s="2467"/>
      <c r="W63" s="2467"/>
      <c r="X63" s="2467"/>
      <c r="Y63" s="2467"/>
      <c r="Z63" s="2467"/>
      <c r="AA63" s="2467"/>
      <c r="AB63" s="2467"/>
      <c r="AC63" s="2467"/>
      <c r="AD63" s="2467"/>
      <c r="AE63" s="2467"/>
      <c r="AF63" s="2467"/>
      <c r="AG63" s="2467"/>
      <c r="AH63" s="2467"/>
      <c r="AI63" s="2467"/>
      <c r="AJ63" s="2467"/>
      <c r="AK63" s="2467"/>
      <c r="AL63" s="2467"/>
      <c r="AM63" s="2467"/>
      <c r="AS63" s="1082">
        <v>20</v>
      </c>
    </row>
    <row r="64" spans="1:45" ht="29.25" customHeight="1">
      <c r="O64" s="474"/>
      <c r="T64" s="2467"/>
      <c r="U64" s="2467"/>
      <c r="V64" s="2467"/>
      <c r="W64" s="2467"/>
      <c r="X64" s="2467"/>
      <c r="Y64" s="2467"/>
      <c r="Z64" s="2467"/>
      <c r="AA64" s="2467"/>
      <c r="AB64" s="2467"/>
      <c r="AC64" s="2467"/>
      <c r="AD64" s="2467"/>
      <c r="AE64" s="2467"/>
      <c r="AF64" s="2467"/>
      <c r="AG64" s="2467"/>
      <c r="AH64" s="2467"/>
      <c r="AI64" s="2467"/>
      <c r="AJ64" s="2467"/>
      <c r="AK64" s="2467"/>
      <c r="AL64" s="2467"/>
      <c r="AM64" s="2467"/>
      <c r="AS64" s="1082">
        <v>28</v>
      </c>
    </row>
    <row r="65" spans="1:45" ht="35.65" customHeight="1">
      <c r="T65" s="2467"/>
      <c r="U65" s="2467"/>
      <c r="V65" s="2467"/>
      <c r="W65" s="2467"/>
      <c r="X65" s="2467"/>
      <c r="Y65" s="2467"/>
      <c r="Z65" s="2467"/>
      <c r="AA65" s="2467"/>
      <c r="AB65" s="2467"/>
      <c r="AC65" s="2467"/>
      <c r="AD65" s="2467"/>
      <c r="AE65" s="2467"/>
      <c r="AF65" s="2467"/>
      <c r="AG65" s="2467"/>
      <c r="AH65" s="2467"/>
      <c r="AI65" s="2467"/>
      <c r="AJ65" s="2467"/>
      <c r="AK65" s="2467"/>
      <c r="AL65" s="2467"/>
      <c r="AM65" s="2467"/>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3BB55-4157-E1B2-E561-F9FE90A6A09D}">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7109375" style="2008" hidden="1" customWidth="1"/>
    <col min="17" max="18" width="3" style="282" customWidth="1"/>
    <col min="19" max="19" width="12" style="2009"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468">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462"/>
      <c r="W2" s="2463"/>
      <c r="X2" s="2463"/>
      <c r="Y2" s="2463"/>
      <c r="Z2" s="2463"/>
      <c r="AA2" s="2463"/>
      <c r="AB2" s="2463"/>
      <c r="AC2" s="2464"/>
      <c r="AD2" s="2462" t="e">
        <f>INDEX(PT_DIFFERENTIATION_NTAR,MATCH(A2,PT_DIFFERENTIATION_NTAR_ID,0))</f>
        <v>#N/A</v>
      </c>
      <c r="AE2" s="2463"/>
      <c r="AF2" s="2463"/>
      <c r="AG2" s="2463"/>
      <c r="AH2" s="2463"/>
      <c r="AI2" s="2463"/>
      <c r="AJ2" s="2463"/>
      <c r="AK2" s="2463"/>
      <c r="AL2" s="2464"/>
      <c r="AM2" s="1185" t="s">
        <v>403</v>
      </c>
      <c r="AO2" s="437"/>
      <c r="AP2" s="437" t="str">
        <f t="shared" ref="AP2:AP15" si="0">IF(T2="","",T2)</f>
        <v>Наименование тарифа</v>
      </c>
      <c r="AQ2" s="437"/>
      <c r="AR2" s="437"/>
      <c r="AS2" s="1082">
        <v>0</v>
      </c>
    </row>
    <row r="3" spans="1:45" ht="21" hidden="1" customHeight="1">
      <c r="A3" s="1290"/>
      <c r="B3" s="1290"/>
      <c r="C3" s="1290"/>
      <c r="D3" s="1290"/>
      <c r="E3" s="2469"/>
      <c r="F3" s="2468">
        <v>1</v>
      </c>
      <c r="G3" s="1290"/>
      <c r="H3" s="1290"/>
      <c r="I3" s="1290"/>
      <c r="J3" s="1290"/>
      <c r="K3" s="1290"/>
      <c r="L3" s="1291"/>
      <c r="M3" s="1292"/>
      <c r="N3" s="1292"/>
      <c r="O3" s="1292"/>
      <c r="P3" s="1259"/>
      <c r="Q3" s="289"/>
      <c r="R3" s="290"/>
      <c r="S3" s="1263" t="e">
        <f>INDEX(PT_DIFFERENTIATION_NUM_TER,MATCH(B3,PT_DIFFERENTIATION_TER_ID,0))</f>
        <v>#N/A</v>
      </c>
      <c r="T3" s="246" t="s">
        <v>404</v>
      </c>
      <c r="U3" s="238"/>
      <c r="V3" s="2462"/>
      <c r="W3" s="2463"/>
      <c r="X3" s="2463"/>
      <c r="Y3" s="2463"/>
      <c r="Z3" s="2463"/>
      <c r="AA3" s="2463"/>
      <c r="AB3" s="2463"/>
      <c r="AC3" s="2464"/>
      <c r="AD3" s="2462" t="e">
        <f>INDEX(PT_DIFFERENTIATION_TER,MATCH(B3,PT_DIFFERENTIATION_TER_ID,0))</f>
        <v>#N/A</v>
      </c>
      <c r="AE3" s="2463"/>
      <c r="AF3" s="2463"/>
      <c r="AG3" s="2463"/>
      <c r="AH3" s="2463"/>
      <c r="AI3" s="2463"/>
      <c r="AJ3" s="2463"/>
      <c r="AK3" s="2463"/>
      <c r="AL3" s="2464"/>
      <c r="AM3" s="1185" t="s">
        <v>405</v>
      </c>
      <c r="AO3" s="437"/>
      <c r="AP3" s="437" t="str">
        <f t="shared" si="0"/>
        <v>Территория действия тарифа</v>
      </c>
      <c r="AQ3" s="437"/>
      <c r="AR3" s="437"/>
      <c r="AS3" s="1082">
        <v>0</v>
      </c>
    </row>
    <row r="4" spans="1:45" ht="23.25" hidden="1" customHeight="1">
      <c r="A4" s="1290"/>
      <c r="B4" s="1290"/>
      <c r="C4" s="1290"/>
      <c r="D4" s="1290"/>
      <c r="E4" s="2469"/>
      <c r="F4" s="2469"/>
      <c r="G4" s="2468">
        <v>1</v>
      </c>
      <c r="H4" s="1290"/>
      <c r="I4" s="1290"/>
      <c r="J4" s="1290"/>
      <c r="K4" s="1290"/>
      <c r="L4" s="1291"/>
      <c r="M4" s="1292"/>
      <c r="N4" s="1292"/>
      <c r="O4" s="1292"/>
      <c r="P4" s="291"/>
      <c r="Q4" s="289"/>
      <c r="R4" s="290"/>
      <c r="S4" s="1930" t="e">
        <f>INDEX(PT_DIFFERENTIATION_NUM_CS,MATCH(C4,PT_DIFFERENTIATION_CS_ID,0))</f>
        <v>#N/A</v>
      </c>
      <c r="T4" s="1934" t="s">
        <v>406</v>
      </c>
      <c r="U4" s="1935"/>
      <c r="V4" s="2514"/>
      <c r="W4" s="2515"/>
      <c r="X4" s="2515"/>
      <c r="Y4" s="2515"/>
      <c r="Z4" s="2515"/>
      <c r="AA4" s="2515"/>
      <c r="AB4" s="2515"/>
      <c r="AC4" s="2516"/>
      <c r="AD4" s="2514" t="e">
        <f>INDEX(PT_DIFFERENTIATION_CS,MATCH(C4,PT_DIFFERENTIATION_CS_ID,0))</f>
        <v>#N/A</v>
      </c>
      <c r="AE4" s="2515"/>
      <c r="AF4" s="2515"/>
      <c r="AG4" s="2515"/>
      <c r="AH4" s="2515"/>
      <c r="AI4" s="2515"/>
      <c r="AJ4" s="2515"/>
      <c r="AK4" s="2515"/>
      <c r="AL4" s="2516"/>
      <c r="AM4" s="1185" t="s">
        <v>407</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469"/>
      <c r="F5" s="2469"/>
      <c r="G5" s="2469"/>
      <c r="H5" s="2468">
        <v>1</v>
      </c>
      <c r="I5" s="1290"/>
      <c r="J5" s="1290"/>
      <c r="K5" s="1290"/>
      <c r="L5" s="1291"/>
      <c r="M5" s="1292"/>
      <c r="N5" s="1292"/>
      <c r="O5" s="1292"/>
      <c r="P5" s="291"/>
      <c r="Q5" s="289"/>
      <c r="R5" s="1562"/>
      <c r="S5" s="1929" t="e">
        <f>INDEX(PT_DIFFERENTIATION_NUM_IST_TE,MATCH(D5,PT_DIFFERENTIATION_IST_TE_ID,0))</f>
        <v>#N/A</v>
      </c>
      <c r="T5" s="248" t="s">
        <v>408</v>
      </c>
      <c r="U5" s="238"/>
      <c r="V5" s="2517"/>
      <c r="W5" s="2517"/>
      <c r="X5" s="2517"/>
      <c r="Y5" s="2517"/>
      <c r="Z5" s="2517"/>
      <c r="AA5" s="2517"/>
      <c r="AB5" s="2517"/>
      <c r="AC5" s="2517"/>
      <c r="AD5" s="2517" t="e">
        <f>INDEX(PT_DIFFERENTIATION_IST_TE,MATCH(D5,PT_DIFFERENTIATION_IST_TE_ID,0))</f>
        <v>#N/A</v>
      </c>
      <c r="AE5" s="2517"/>
      <c r="AF5" s="2517"/>
      <c r="AG5" s="2517"/>
      <c r="AH5" s="2517"/>
      <c r="AI5" s="2517"/>
      <c r="AJ5" s="2517"/>
      <c r="AK5" s="2517"/>
      <c r="AL5" s="2517"/>
      <c r="AM5" s="1932" t="s">
        <v>409</v>
      </c>
      <c r="AO5" s="437"/>
      <c r="AP5" s="437" t="str">
        <f t="shared" si="0"/>
        <v xml:space="preserve">Источник тепловой энергии  </v>
      </c>
      <c r="AQ5" s="437"/>
      <c r="AR5" s="437"/>
      <c r="AS5" s="1082">
        <v>0</v>
      </c>
    </row>
    <row r="6" spans="1:45" ht="0.75" hidden="1" customHeight="1">
      <c r="A6" s="1290"/>
      <c r="B6" s="1290"/>
      <c r="C6" s="1290"/>
      <c r="D6" s="1290"/>
      <c r="E6" s="2469"/>
      <c r="F6" s="2469"/>
      <c r="G6" s="2469"/>
      <c r="H6" s="2469"/>
      <c r="I6" s="2470" t="e">
        <f>S5&amp;".1"</f>
        <v>#N/A</v>
      </c>
      <c r="J6" s="1290"/>
      <c r="K6" s="1290"/>
      <c r="L6" s="1291" t="s">
        <v>410</v>
      </c>
      <c r="M6" s="474"/>
      <c r="P6" s="2472">
        <v>1</v>
      </c>
      <c r="Q6" s="1258"/>
      <c r="R6" s="1928"/>
      <c r="S6" s="972"/>
      <c r="T6" s="1310"/>
      <c r="U6" s="1311"/>
      <c r="V6" s="2518"/>
      <c r="W6" s="2518"/>
      <c r="X6" s="2518"/>
      <c r="Y6" s="2518"/>
      <c r="Z6" s="2518"/>
      <c r="AA6" s="2518"/>
      <c r="AB6" s="2518"/>
      <c r="AC6" s="2518"/>
      <c r="AD6" s="2518"/>
      <c r="AE6" s="2518"/>
      <c r="AF6" s="2518"/>
      <c r="AG6" s="2518"/>
      <c r="AH6" s="2518"/>
      <c r="AI6" s="2518"/>
      <c r="AJ6" s="2518"/>
      <c r="AK6" s="2518"/>
      <c r="AL6" s="2518"/>
      <c r="AM6" s="1933"/>
      <c r="AO6" s="437"/>
      <c r="AP6" s="437" t="str">
        <f t="shared" si="0"/>
        <v/>
      </c>
      <c r="AQ6" s="437"/>
      <c r="AR6" s="437"/>
      <c r="AS6" s="1082">
        <v>0</v>
      </c>
    </row>
    <row r="7" spans="1:45" ht="84" hidden="1" customHeight="1">
      <c r="A7" s="1290"/>
      <c r="B7" s="1290"/>
      <c r="C7" s="1290"/>
      <c r="D7" s="1290"/>
      <c r="E7" s="2469"/>
      <c r="F7" s="2469"/>
      <c r="G7" s="2469"/>
      <c r="H7" s="2469"/>
      <c r="I7" s="2471"/>
      <c r="J7" s="2470" t="e">
        <f>I6&amp;".1"</f>
        <v>#N/A</v>
      </c>
      <c r="K7" s="1290"/>
      <c r="L7" s="1291" t="s">
        <v>413</v>
      </c>
      <c r="M7" s="474"/>
      <c r="N7" s="1293"/>
      <c r="P7" s="2472"/>
      <c r="Q7" s="2472">
        <v>1</v>
      </c>
      <c r="R7" s="1569"/>
      <c r="S7" s="1929" t="e">
        <f>$J7</f>
        <v>#N/A</v>
      </c>
      <c r="T7" s="224" t="s">
        <v>414</v>
      </c>
      <c r="U7" s="238"/>
      <c r="V7" s="2512"/>
      <c r="W7" s="2512"/>
      <c r="X7" s="2512"/>
      <c r="Y7" s="2512"/>
      <c r="Z7" s="2512"/>
      <c r="AA7" s="2512"/>
      <c r="AB7" s="2512"/>
      <c r="AC7" s="2512"/>
      <c r="AD7" s="2512"/>
      <c r="AE7" s="2512"/>
      <c r="AF7" s="2512"/>
      <c r="AG7" s="2512"/>
      <c r="AH7" s="2512"/>
      <c r="AI7" s="2512"/>
      <c r="AJ7" s="2512"/>
      <c r="AK7" s="2512"/>
      <c r="AL7" s="2512"/>
      <c r="AM7" s="1932" t="s">
        <v>415</v>
      </c>
      <c r="AO7" s="437"/>
      <c r="AP7" s="437" t="str">
        <f t="shared" si="0"/>
        <v>Группа потребителей</v>
      </c>
      <c r="AQ7" s="437"/>
      <c r="AR7" s="437"/>
      <c r="AS7" s="1082">
        <v>0</v>
      </c>
    </row>
    <row r="8" spans="1:45" ht="11.25" hidden="1" customHeight="1">
      <c r="A8" s="1290"/>
      <c r="B8" s="1290"/>
      <c r="C8" s="1290"/>
      <c r="D8" s="1290"/>
      <c r="E8" s="2469"/>
      <c r="F8" s="2469"/>
      <c r="G8" s="2469"/>
      <c r="H8" s="2469"/>
      <c r="I8" s="2471"/>
      <c r="J8" s="2471"/>
      <c r="K8" s="2470" t="e">
        <f>J7&amp;".1"</f>
        <v>#N/A</v>
      </c>
      <c r="L8" s="1291" t="s">
        <v>416</v>
      </c>
      <c r="M8" s="474"/>
      <c r="N8" s="1293"/>
      <c r="O8" s="1293"/>
      <c r="P8" s="2472"/>
      <c r="Q8" s="2472"/>
      <c r="R8" s="294">
        <v>1</v>
      </c>
      <c r="S8" s="1931" t="e">
        <f>$K8</f>
        <v>#N/A</v>
      </c>
      <c r="T8" s="1936"/>
      <c r="U8" s="1937"/>
      <c r="V8" s="1938"/>
      <c r="W8" s="1276"/>
      <c r="X8" s="1938"/>
      <c r="Y8" s="1939"/>
      <c r="Z8" s="2513"/>
      <c r="AA8" s="2347" t="s">
        <v>67</v>
      </c>
      <c r="AB8" s="2513"/>
      <c r="AC8" s="2347" t="s">
        <v>67</v>
      </c>
      <c r="AD8" s="1938"/>
      <c r="AE8" s="1276"/>
      <c r="AF8" s="1938"/>
      <c r="AG8" s="1939"/>
      <c r="AH8" s="2513"/>
      <c r="AI8" s="2347" t="s">
        <v>67</v>
      </c>
      <c r="AJ8" s="2513"/>
      <c r="AK8" s="2347" t="s">
        <v>67</v>
      </c>
      <c r="AL8" s="1276"/>
      <c r="AM8" s="2491" t="s">
        <v>417</v>
      </c>
      <c r="AN8" s="448" t="e">
        <f ca="1">STRCHECKDATE(V9:AL9)</f>
        <v>#NAME?</v>
      </c>
      <c r="AO8" s="437"/>
      <c r="AP8" s="437" t="str">
        <f t="shared" si="0"/>
        <v/>
      </c>
      <c r="AQ8" s="437"/>
      <c r="AR8" s="437"/>
      <c r="AS8" s="1082">
        <v>0</v>
      </c>
    </row>
    <row r="9" spans="1:45" ht="0.75" hidden="1" customHeight="1">
      <c r="A9" s="1290"/>
      <c r="B9" s="1290"/>
      <c r="C9" s="1290"/>
      <c r="D9" s="1290"/>
      <c r="E9" s="2469"/>
      <c r="F9" s="2469"/>
      <c r="G9" s="2469"/>
      <c r="H9" s="2469"/>
      <c r="I9" s="2471"/>
      <c r="J9" s="2471"/>
      <c r="K9" s="2470"/>
      <c r="L9" s="1291"/>
      <c r="M9" s="474"/>
      <c r="N9" s="1293"/>
      <c r="O9" s="1293"/>
      <c r="P9" s="2472"/>
      <c r="Q9" s="2472"/>
      <c r="R9" s="294"/>
      <c r="S9" s="1269"/>
      <c r="T9" s="238"/>
      <c r="U9" s="238"/>
      <c r="V9" s="263"/>
      <c r="W9" s="263"/>
      <c r="X9" s="263"/>
      <c r="Y9" s="266" t="str">
        <f>Z8&amp;"-"&amp;AB8</f>
        <v>-</v>
      </c>
      <c r="Z9" s="2474"/>
      <c r="AA9" s="2342"/>
      <c r="AB9" s="2474"/>
      <c r="AC9" s="2342"/>
      <c r="AD9" s="263"/>
      <c r="AE9" s="263"/>
      <c r="AF9" s="263"/>
      <c r="AG9" s="266" t="str">
        <f>AH8&amp;"-"&amp;AJ8</f>
        <v>-</v>
      </c>
      <c r="AH9" s="2474"/>
      <c r="AI9" s="2342"/>
      <c r="AJ9" s="2474"/>
      <c r="AK9" s="2342"/>
      <c r="AL9" s="263"/>
      <c r="AM9" s="2492"/>
      <c r="AO9" s="437"/>
      <c r="AP9" s="437" t="str">
        <f t="shared" si="0"/>
        <v/>
      </c>
      <c r="AQ9" s="437"/>
      <c r="AR9" s="437"/>
      <c r="AS9" s="1082">
        <v>0</v>
      </c>
    </row>
    <row r="10" spans="1:45" ht="11.25" hidden="1" customHeight="1">
      <c r="A10" s="1290"/>
      <c r="B10" s="1290"/>
      <c r="C10" s="1290"/>
      <c r="D10" s="1290"/>
      <c r="E10" s="2469"/>
      <c r="F10" s="2469"/>
      <c r="G10" s="2469"/>
      <c r="H10" s="2469"/>
      <c r="I10" s="2471"/>
      <c r="J10" s="2470"/>
      <c r="K10" s="1290"/>
      <c r="L10" s="1291"/>
      <c r="M10" s="474"/>
      <c r="N10" s="1293"/>
      <c r="P10" s="2472"/>
      <c r="Q10" s="2472"/>
      <c r="R10" s="293"/>
      <c r="S10" s="1205"/>
      <c r="T10" s="225" t="s">
        <v>418</v>
      </c>
      <c r="U10" s="304"/>
      <c r="V10" s="304"/>
      <c r="W10" s="304"/>
      <c r="X10" s="304"/>
      <c r="Y10" s="304"/>
      <c r="Z10" s="304"/>
      <c r="AA10" s="304"/>
      <c r="AB10" s="304"/>
      <c r="AC10" s="304"/>
      <c r="AD10" s="304"/>
      <c r="AE10" s="304"/>
      <c r="AF10" s="304"/>
      <c r="AG10" s="304"/>
      <c r="AH10" s="304"/>
      <c r="AI10" s="304"/>
      <c r="AJ10" s="304"/>
      <c r="AK10" s="304"/>
      <c r="AL10" s="262"/>
      <c r="AM10" s="2493"/>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469"/>
      <c r="F11" s="2469"/>
      <c r="G11" s="2469"/>
      <c r="H11" s="2469"/>
      <c r="I11" s="2470"/>
      <c r="J11" s="1290"/>
      <c r="K11" s="1290"/>
      <c r="L11" s="1291"/>
      <c r="M11" s="474"/>
      <c r="P11" s="2472"/>
      <c r="Q11" s="1258"/>
      <c r="R11" s="293"/>
      <c r="S11" s="1205"/>
      <c r="T11" s="302" t="s">
        <v>419</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469"/>
      <c r="F12" s="2469"/>
      <c r="G12" s="2469"/>
      <c r="H12" s="2468"/>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469"/>
      <c r="F13" s="2469"/>
      <c r="G13" s="2468"/>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469"/>
      <c r="F14" s="2468"/>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468"/>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466"/>
      <c r="AI17" s="2465" t="s">
        <v>67</v>
      </c>
      <c r="AJ17" s="2466"/>
      <c r="AK17" s="2465" t="s">
        <v>67</v>
      </c>
      <c r="AS17" s="1082">
        <v>0</v>
      </c>
    </row>
    <row r="18" spans="1:45" ht="14.25" hidden="1" customHeight="1">
      <c r="AD18" s="1287"/>
      <c r="AE18" s="1287"/>
      <c r="AF18" s="1287"/>
      <c r="AG18" s="266" t="str">
        <f>AH17&amp;"-"&amp;AJ17</f>
        <v>-</v>
      </c>
      <c r="AH18" s="2465"/>
      <c r="AI18" s="2465"/>
      <c r="AJ18" s="2465"/>
      <c r="AK18" s="2465"/>
      <c r="AS18" s="1082">
        <v>0</v>
      </c>
    </row>
    <row r="19" spans="1:45" ht="14.25" hidden="1" customHeight="1">
      <c r="AK19" s="265"/>
      <c r="AS19" s="1082">
        <v>0</v>
      </c>
    </row>
    <row r="20" spans="1:45" s="1293" customFormat="1" ht="22.5" hidden="1" customHeight="1">
      <c r="L20" s="1256"/>
      <c r="M20" s="1289"/>
      <c r="N20" s="1289"/>
      <c r="O20" s="1294" t="s">
        <v>421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422</v>
      </c>
      <c r="P22" s="1289"/>
      <c r="Q22" s="1298"/>
      <c r="R22" s="1298"/>
      <c r="S22" s="666"/>
      <c r="T22" s="1087" t="s">
        <v>423</v>
      </c>
      <c r="AA22" s="124" t="s">
        <v>424</v>
      </c>
      <c r="AC22" s="124" t="s">
        <v>425</v>
      </c>
      <c r="AD22" s="1087" t="s">
        <v>423</v>
      </c>
      <c r="AI22" s="124" t="s">
        <v>426</v>
      </c>
      <c r="AK22" s="124" t="s">
        <v>425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40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00"/>
      <c r="U26" s="2400"/>
      <c r="V26" s="2400"/>
      <c r="W26" s="2400"/>
      <c r="X26" s="2400"/>
      <c r="Y26" s="2400"/>
      <c r="Z26" s="2400"/>
      <c r="AA26" s="2400"/>
      <c r="AB26" s="2400"/>
      <c r="AC26" s="2400"/>
      <c r="AD26" s="2400"/>
      <c r="AE26" s="2400"/>
      <c r="AF26" s="2400"/>
      <c r="AG26" s="2400"/>
      <c r="AH26" s="2400"/>
      <c r="AI26" s="2400"/>
      <c r="AJ26" s="2400"/>
      <c r="AK26" s="1170"/>
      <c r="AS26" s="1082">
        <v>52</v>
      </c>
    </row>
    <row r="27" spans="1:45" ht="14.65" customHeight="1">
      <c r="Q27" s="313"/>
      <c r="R27" s="313"/>
      <c r="S27" s="2421" t="str">
        <f>IF(org=0,"Не определено",org)</f>
        <v>МУП "Городские тепловые сети" МО  "город Курчатов"</v>
      </c>
      <c r="T27" s="2421"/>
      <c r="U27" s="2421"/>
      <c r="V27" s="2421"/>
      <c r="W27" s="2421"/>
      <c r="X27" s="2421"/>
      <c r="Y27" s="2421"/>
      <c r="Z27" s="2421"/>
      <c r="AA27" s="2421"/>
      <c r="AB27" s="2421"/>
      <c r="AC27" s="2421"/>
      <c r="AD27" s="2421"/>
      <c r="AE27" s="2421"/>
      <c r="AF27" s="2421"/>
      <c r="AG27" s="2421"/>
      <c r="AH27" s="2421"/>
      <c r="AI27" s="2421"/>
      <c r="AJ27" s="2421"/>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459" t="s">
        <v>42</v>
      </c>
      <c r="T29" s="2459"/>
      <c r="U29" s="1299"/>
      <c r="V29" s="2461" t="str">
        <f>IF(TITLE_NAME_OR_PR_CHANGE="",IF(TITLE_NAME_OR_PR="","",TITLE_NAME_OR_PR),TITLE_NAME_OR_PR_CHANGE)</f>
        <v/>
      </c>
      <c r="W29" s="2461"/>
      <c r="X29" s="2461"/>
      <c r="Y29" s="2461"/>
      <c r="Z29" s="2461"/>
      <c r="AA29" s="2461"/>
      <c r="AB29" s="2461"/>
      <c r="AC29" s="264"/>
      <c r="AD29" s="2461" t="str">
        <f>IF(TITLE_NAME_OR_PR_CHANGE="",IF(TITLE_NAME_OR_PR="","",TITLE_NAME_OR_PR),TITLE_NAME_OR_PR_CHANGE)</f>
        <v/>
      </c>
      <c r="AE29" s="2461"/>
      <c r="AF29" s="2461"/>
      <c r="AG29" s="2461"/>
      <c r="AH29" s="2461"/>
      <c r="AI29" s="2461"/>
      <c r="AJ29" s="2461"/>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459" t="s">
        <v>427</v>
      </c>
      <c r="T30" s="2459"/>
      <c r="U30" s="1299"/>
      <c r="V30" s="2460">
        <f>IF(TITLE_DATE_PR_CHANGE="",IF(TITLE_DATE_PR="","",TITLE_DATE_PR),TITLE_DATE_PR_CHANGE)</f>
        <v>45775</v>
      </c>
      <c r="W30" s="2460"/>
      <c r="X30" s="2460"/>
      <c r="Y30" s="2460"/>
      <c r="Z30" s="2460"/>
      <c r="AA30" s="2460"/>
      <c r="AB30" s="2460"/>
      <c r="AC30" s="264"/>
      <c r="AD30" s="2460">
        <f>IF(TITLE_DATE_PR_CHANGE="",IF(TITLE_DATE_PR="","",TITLE_DATE_PR),TITLE_DATE_PR_CHANGE)</f>
        <v>45775</v>
      </c>
      <c r="AE30" s="2460"/>
      <c r="AF30" s="2460"/>
      <c r="AG30" s="2460"/>
      <c r="AH30" s="2460"/>
      <c r="AI30" s="2460"/>
      <c r="AJ30" s="2460"/>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459" t="s">
        <v>428</v>
      </c>
      <c r="T31" s="2459"/>
      <c r="U31" s="1299"/>
      <c r="V31" s="2461" t="str">
        <f>IF(TITLE_NUMBER_PR_CHANGE="",IF(TITLE_NUMBER_PR="","",TITLE_NUMBER_PR),TITLE_NUMBER_PR_CHANGE)</f>
        <v>03.5-1382</v>
      </c>
      <c r="W31" s="2461"/>
      <c r="X31" s="2461"/>
      <c r="Y31" s="2461"/>
      <c r="Z31" s="2461"/>
      <c r="AA31" s="2461"/>
      <c r="AB31" s="2461"/>
      <c r="AC31" s="264"/>
      <c r="AD31" s="2461" t="str">
        <f>IF(TITLE_NUMBER_PR_CHANGE="",IF(TITLE_NUMBER_PR="","",TITLE_NUMBER_PR),TITLE_NUMBER_PR_CHANGE)</f>
        <v>03.5-1382</v>
      </c>
      <c r="AE31" s="2461"/>
      <c r="AF31" s="2461"/>
      <c r="AG31" s="2461"/>
      <c r="AH31" s="2461"/>
      <c r="AI31" s="2461"/>
      <c r="AJ31" s="2461"/>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459" t="s">
        <v>43</v>
      </c>
      <c r="T32" s="2459"/>
      <c r="U32" s="1299"/>
      <c r="V32" s="2461" t="str">
        <f>IF(TITLE_IST_PUB_CHANGE="",IF(TITLE_IST_PUB="","",TITLE_IST_PUB),TITLE_IST_PUB_CHANGE)</f>
        <v/>
      </c>
      <c r="W32" s="2461"/>
      <c r="X32" s="2461"/>
      <c r="Y32" s="2461"/>
      <c r="Z32" s="2461"/>
      <c r="AA32" s="2461"/>
      <c r="AB32" s="2461"/>
      <c r="AC32" s="264"/>
      <c r="AD32" s="2461" t="str">
        <f>IF(TITLE_IST_PUB_CHANGE="",IF(TITLE_IST_PUB="","",TITLE_IST_PUB),TITLE_IST_PUB_CHANGE)</f>
        <v/>
      </c>
      <c r="AE32" s="2461"/>
      <c r="AF32" s="2461"/>
      <c r="AG32" s="2461"/>
      <c r="AH32" s="2461"/>
      <c r="AI32" s="2461"/>
      <c r="AJ32" s="2461"/>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459" t="s">
        <v>429</v>
      </c>
      <c r="T34" s="2459"/>
      <c r="U34" s="1299"/>
      <c r="V34" s="2460">
        <f>IF(TITLE_DATE_PR_CHANGE="",IF(TITLE_DATE_PR="","",TITLE_DATE_PR),TITLE_DATE_PR_CHANGE)</f>
        <v>45775</v>
      </c>
      <c r="W34" s="2460"/>
      <c r="X34" s="2460"/>
      <c r="Y34" s="2460"/>
      <c r="Z34" s="2460"/>
      <c r="AA34" s="2460"/>
      <c r="AB34" s="2460"/>
      <c r="AC34" s="264"/>
      <c r="AD34" s="2460">
        <f>IF(TITLE_DATE_PR_CHANGE="",IF(TITLE_DATE_PR="","",TITLE_DATE_PR),TITLE_DATE_PR_CHANGE)</f>
        <v>45775</v>
      </c>
      <c r="AE34" s="2460"/>
      <c r="AF34" s="2460"/>
      <c r="AG34" s="2460"/>
      <c r="AH34" s="2460"/>
      <c r="AI34" s="2460"/>
      <c r="AJ34" s="2460"/>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459" t="s">
        <v>430</v>
      </c>
      <c r="T35" s="2459"/>
      <c r="U35" s="1299"/>
      <c r="V35" s="2461" t="str">
        <f>IF(TITLE_NUMBER_PR_CHANGE="",IF(TITLE_NUMBER_PR="","",TITLE_NUMBER_PR),TITLE_NUMBER_PR_CHANGE)</f>
        <v>03.5-1382</v>
      </c>
      <c r="W35" s="2461"/>
      <c r="X35" s="2461"/>
      <c r="Y35" s="2461"/>
      <c r="Z35" s="2461"/>
      <c r="AA35" s="2461"/>
      <c r="AB35" s="2461"/>
      <c r="AC35" s="264"/>
      <c r="AD35" s="2461" t="str">
        <f>IF(TITLE_NUMBER_PR_CHANGE="",IF(TITLE_NUMBER_PR="","",TITLE_NUMBER_PR),TITLE_NUMBER_PR_CHANGE)</f>
        <v>03.5-1382</v>
      </c>
      <c r="AE35" s="2461"/>
      <c r="AF35" s="2461"/>
      <c r="AG35" s="2461"/>
      <c r="AH35" s="2461"/>
      <c r="AI35" s="2461"/>
      <c r="AJ35" s="2461"/>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431</v>
      </c>
      <c r="AD36" s="264"/>
      <c r="AE36" s="264"/>
      <c r="AF36" s="264"/>
      <c r="AG36" s="264"/>
      <c r="AH36" s="264"/>
      <c r="AI36" s="264"/>
      <c r="AJ36" s="264"/>
      <c r="AK36" s="216" t="s">
        <v>431</v>
      </c>
      <c r="AN36" s="305"/>
      <c r="AO36" s="305"/>
      <c r="AP36" s="305"/>
      <c r="AQ36" s="305"/>
      <c r="AR36" s="305"/>
      <c r="AS36" s="355">
        <v>0</v>
      </c>
    </row>
    <row r="37" spans="1:45" ht="14.65" customHeight="1">
      <c r="Q37" s="313"/>
      <c r="R37" s="313"/>
      <c r="S37" s="1202"/>
      <c r="T37" s="300"/>
      <c r="U37" s="1171"/>
      <c r="V37" s="2480"/>
      <c r="W37" s="2480"/>
      <c r="X37" s="2480"/>
      <c r="Y37" s="2480"/>
      <c r="Z37" s="2480"/>
      <c r="AA37" s="2480"/>
      <c r="AB37" s="2480"/>
      <c r="AC37" s="2480"/>
      <c r="AD37" s="2480"/>
      <c r="AE37" s="2480"/>
      <c r="AF37" s="2480"/>
      <c r="AG37" s="2480"/>
      <c r="AH37" s="2480"/>
      <c r="AI37" s="2480"/>
      <c r="AJ37" s="2480"/>
      <c r="AK37" s="2480"/>
      <c r="AS37" s="1082">
        <v>14</v>
      </c>
    </row>
    <row r="38" spans="1:45" ht="14.65" customHeight="1">
      <c r="Q38" s="313"/>
      <c r="R38" s="313"/>
      <c r="S38" s="2332" t="s">
        <v>307</v>
      </c>
      <c r="T38" s="2332"/>
      <c r="U38" s="2332"/>
      <c r="V38" s="2332"/>
      <c r="W38" s="2332"/>
      <c r="X38" s="2332"/>
      <c r="Y38" s="2332"/>
      <c r="Z38" s="2332"/>
      <c r="AA38" s="2332"/>
      <c r="AB38" s="2332"/>
      <c r="AC38" s="2332"/>
      <c r="AD38" s="2332"/>
      <c r="AE38" s="2332"/>
      <c r="AF38" s="2332"/>
      <c r="AG38" s="2332"/>
      <c r="AH38" s="2332"/>
      <c r="AI38" s="2332"/>
      <c r="AJ38" s="2332"/>
      <c r="AK38" s="2332"/>
      <c r="AL38" s="2332"/>
      <c r="AM38" s="2332" t="s">
        <v>308</v>
      </c>
      <c r="AS38" s="1082">
        <v>14</v>
      </c>
    </row>
    <row r="39" spans="1:45" ht="14.65" customHeight="1">
      <c r="Q39" s="313"/>
      <c r="R39" s="313"/>
      <c r="S39" s="2481" t="s">
        <v>89</v>
      </c>
      <c r="T39" s="2429" t="s">
        <v>432</v>
      </c>
      <c r="U39" s="239"/>
      <c r="V39" s="2482" t="s">
        <v>433</v>
      </c>
      <c r="W39" s="2483"/>
      <c r="X39" s="2483"/>
      <c r="Y39" s="2483"/>
      <c r="Z39" s="2483"/>
      <c r="AA39" s="2483"/>
      <c r="AB39" s="2484"/>
      <c r="AC39" s="2485" t="s">
        <v>434</v>
      </c>
      <c r="AD39" s="2482" t="s">
        <v>433</v>
      </c>
      <c r="AE39" s="2483"/>
      <c r="AF39" s="2483"/>
      <c r="AG39" s="2483"/>
      <c r="AH39" s="2483"/>
      <c r="AI39" s="2483"/>
      <c r="AJ39" s="2484"/>
      <c r="AK39" s="2485" t="s">
        <v>435</v>
      </c>
      <c r="AL39" s="2488" t="s">
        <v>436</v>
      </c>
      <c r="AM39" s="2332"/>
      <c r="AS39" s="1082">
        <v>14</v>
      </c>
    </row>
    <row r="40" spans="1:45" ht="35.65" customHeight="1">
      <c r="Q40" s="313"/>
      <c r="R40" s="313"/>
      <c r="S40" s="2481"/>
      <c r="T40" s="2429"/>
      <c r="U40" s="961"/>
      <c r="V40" s="2401" t="s">
        <v>437</v>
      </c>
      <c r="W40" s="2477"/>
      <c r="X40" s="2314" t="s">
        <v>439</v>
      </c>
      <c r="Y40" s="2313"/>
      <c r="Z40" s="2314" t="s">
        <v>440</v>
      </c>
      <c r="AA40" s="2319"/>
      <c r="AB40" s="2313"/>
      <c r="AC40" s="2486"/>
      <c r="AD40" s="2401" t="s">
        <v>458</v>
      </c>
      <c r="AE40" s="2477"/>
      <c r="AF40" s="2314" t="s">
        <v>439</v>
      </c>
      <c r="AG40" s="2313"/>
      <c r="AH40" s="2314" t="s">
        <v>440</v>
      </c>
      <c r="AI40" s="2319"/>
      <c r="AJ40" s="2313"/>
      <c r="AK40" s="2486"/>
      <c r="AL40" s="2489"/>
      <c r="AM40" s="2332"/>
      <c r="AS40" s="1082">
        <v>34</v>
      </c>
    </row>
    <row r="41" spans="1:45" ht="35.65" customHeight="1">
      <c r="A41" s="1297"/>
      <c r="B41" s="1297" t="s">
        <v>136</v>
      </c>
      <c r="C41" s="1297" t="s">
        <v>137</v>
      </c>
      <c r="D41" s="1297" t="s">
        <v>138</v>
      </c>
      <c r="E41" s="1291" t="s">
        <v>441</v>
      </c>
      <c r="F41" s="1291" t="s">
        <v>442</v>
      </c>
      <c r="G41" s="1291" t="s">
        <v>443</v>
      </c>
      <c r="H41" s="1291" t="s">
        <v>444</v>
      </c>
      <c r="I41" s="1291" t="s">
        <v>445</v>
      </c>
      <c r="J41" s="1291" t="s">
        <v>446</v>
      </c>
      <c r="K41" s="1291" t="s">
        <v>447</v>
      </c>
      <c r="L41" s="1291" t="s">
        <v>422</v>
      </c>
      <c r="Q41" s="313"/>
      <c r="R41" s="313"/>
      <c r="S41" s="2481"/>
      <c r="T41" s="2429"/>
      <c r="U41" s="240"/>
      <c r="V41" s="2454"/>
      <c r="W41" s="2478"/>
      <c r="X41" s="1149" t="s">
        <v>448</v>
      </c>
      <c r="Y41" s="1149" t="s">
        <v>449</v>
      </c>
      <c r="Z41" s="1265" t="s">
        <v>450</v>
      </c>
      <c r="AA41" s="2434" t="s">
        <v>451</v>
      </c>
      <c r="AB41" s="2448"/>
      <c r="AC41" s="2487"/>
      <c r="AD41" s="2454"/>
      <c r="AE41" s="2478"/>
      <c r="AF41" s="1149" t="s">
        <v>448</v>
      </c>
      <c r="AG41" s="1149" t="s">
        <v>449</v>
      </c>
      <c r="AH41" s="1265" t="s">
        <v>450</v>
      </c>
      <c r="AI41" s="2434" t="s">
        <v>451</v>
      </c>
      <c r="AJ41" s="2448"/>
      <c r="AK41" s="2487"/>
      <c r="AL41" s="2490"/>
      <c r="AM41" s="2332"/>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479">
        <f ca="1">OFFSET(AA42,0,-1)+1</f>
        <v>4</v>
      </c>
      <c r="AB42" s="2479"/>
      <c r="AC42" s="1262">
        <f ca="1">OFFSET(AC42,0,-2)+1</f>
        <v>5</v>
      </c>
      <c r="AD42" s="1262">
        <f ca="1">OFFSET(AD42,0,-1)+1</f>
        <v>6</v>
      </c>
      <c r="AE42" s="1262"/>
      <c r="AF42" s="1262">
        <f ca="1">OFFSET(AF42,0,-1)+1</f>
        <v>1</v>
      </c>
      <c r="AG42" s="1262">
        <f ca="1">OFFSET(AG42,0,-1)+1</f>
        <v>2</v>
      </c>
      <c r="AH42" s="1262">
        <f ca="1">OFFSET(AH42,0,-1)+1</f>
        <v>3</v>
      </c>
      <c r="AI42" s="2479">
        <f ca="1">OFFSET(AI42,0,-1)+1</f>
        <v>4</v>
      </c>
      <c r="AJ42" s="2479"/>
      <c r="AK42" s="1262">
        <f ca="1">OFFSET(AK42,0,-2)+1</f>
        <v>5</v>
      </c>
      <c r="AL42" s="1172">
        <f ca="1">OFFSET(AL42,0,-1)</f>
        <v>5</v>
      </c>
      <c r="AM42" s="1262">
        <f ca="1">OFFSET(AM42,0,-1)+1</f>
        <v>6</v>
      </c>
      <c r="AN42" s="448"/>
      <c r="AO42" s="448"/>
      <c r="AP42" s="448"/>
      <c r="AQ42" s="448"/>
      <c r="AR42" s="448"/>
      <c r="AS42" s="433">
        <v>0</v>
      </c>
    </row>
    <row r="43" spans="1:45" ht="21.95" customHeight="1">
      <c r="A43" s="1290" t="s">
        <v>189</v>
      </c>
      <c r="B43" s="1290"/>
      <c r="C43" s="1290"/>
      <c r="D43" s="1290"/>
      <c r="E43" s="2468">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462"/>
      <c r="W43" s="2463"/>
      <c r="X43" s="2463"/>
      <c r="Y43" s="2463"/>
      <c r="Z43" s="2463"/>
      <c r="AA43" s="2463"/>
      <c r="AB43" s="2463"/>
      <c r="AC43" s="2464"/>
      <c r="AD43" s="2462" t="str">
        <f>INDEX(PT_DIFFERENTIATION_NTAR,MATCH(A43,PT_DIFFERENTIATION_NTAR_ID,0))</f>
        <v/>
      </c>
      <c r="AE43" s="2463"/>
      <c r="AF43" s="2463"/>
      <c r="AG43" s="2463"/>
      <c r="AH43" s="2463"/>
      <c r="AI43" s="2463"/>
      <c r="AJ43" s="2463"/>
      <c r="AK43" s="2463"/>
      <c r="AL43" s="2464"/>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189</v>
      </c>
      <c r="B44" s="1290" t="s">
        <v>190</v>
      </c>
      <c r="C44" s="1290"/>
      <c r="D44" s="1290"/>
      <c r="E44" s="2469"/>
      <c r="F44" s="2468">
        <v>1</v>
      </c>
      <c r="G44" s="1290"/>
      <c r="H44" s="1290"/>
      <c r="I44" s="1290"/>
      <c r="J44" s="1290"/>
      <c r="K44" s="1290"/>
      <c r="L44" s="1291"/>
      <c r="M44" s="1292"/>
      <c r="N44" s="1292"/>
      <c r="O44" s="1292"/>
      <c r="P44" s="1259"/>
      <c r="Q44" s="289"/>
      <c r="R44" s="290"/>
      <c r="S44" s="1263" t="str">
        <f>INDEX(PT_DIFFERENTIATION_NUM_TER,MATCH(B44,PT_DIFFERENTIATION_TER_ID,0))</f>
        <v>.</v>
      </c>
      <c r="T44" s="246" t="s">
        <v>404</v>
      </c>
      <c r="U44" s="238"/>
      <c r="V44" s="2462"/>
      <c r="W44" s="2463"/>
      <c r="X44" s="2463"/>
      <c r="Y44" s="2463"/>
      <c r="Z44" s="2463"/>
      <c r="AA44" s="2463"/>
      <c r="AB44" s="2463"/>
      <c r="AC44" s="2464"/>
      <c r="AD44" s="2462" t="str">
        <f>INDEX(PT_DIFFERENTIATION_TER,MATCH(B44,PT_DIFFERENTIATION_TER_ID,0))</f>
        <v/>
      </c>
      <c r="AE44" s="2463"/>
      <c r="AF44" s="2463"/>
      <c r="AG44" s="2463"/>
      <c r="AH44" s="2463"/>
      <c r="AI44" s="2463"/>
      <c r="AJ44" s="2463"/>
      <c r="AK44" s="2463"/>
      <c r="AL44" s="2464"/>
      <c r="AM44" s="1185" t="s">
        <v>405</v>
      </c>
      <c r="AO44" s="437"/>
      <c r="AP44" s="437" t="str">
        <f t="shared" si="1"/>
        <v>Территория действия тарифа</v>
      </c>
      <c r="AQ44" s="437"/>
      <c r="AR44" s="437"/>
      <c r="AS44" s="1082">
        <v>21</v>
      </c>
    </row>
    <row r="45" spans="1:45" ht="24" customHeight="1">
      <c r="A45" s="1290" t="s">
        <v>189</v>
      </c>
      <c r="B45" s="1290" t="s">
        <v>190</v>
      </c>
      <c r="C45" s="1290" t="s">
        <v>191</v>
      </c>
      <c r="D45" s="1290"/>
      <c r="E45" s="2469"/>
      <c r="F45" s="2469"/>
      <c r="G45" s="2468">
        <v>1</v>
      </c>
      <c r="H45" s="1290"/>
      <c r="I45" s="1290"/>
      <c r="J45" s="1290"/>
      <c r="K45" s="1290"/>
      <c r="L45" s="1291"/>
      <c r="M45" s="1292"/>
      <c r="N45" s="1292"/>
      <c r="O45" s="1292"/>
      <c r="P45" s="291"/>
      <c r="Q45" s="289"/>
      <c r="R45" s="290"/>
      <c r="S45" s="1263" t="str">
        <f>INDEX(PT_DIFFERENTIATION_NUM_CS,MATCH(C45,PT_DIFFERENTIATION_CS_ID,0))</f>
        <v>..</v>
      </c>
      <c r="T45" s="247" t="s">
        <v>406</v>
      </c>
      <c r="U45" s="238"/>
      <c r="V45" s="2462"/>
      <c r="W45" s="2463"/>
      <c r="X45" s="2463"/>
      <c r="Y45" s="2463"/>
      <c r="Z45" s="2463"/>
      <c r="AA45" s="2463"/>
      <c r="AB45" s="2463"/>
      <c r="AC45" s="2464"/>
      <c r="AD45" s="2462" t="str">
        <f>INDEX(PT_DIFFERENTIATION_CS,MATCH(C45,PT_DIFFERENTIATION_CS_ID,0))</f>
        <v/>
      </c>
      <c r="AE45" s="2463"/>
      <c r="AF45" s="2463"/>
      <c r="AG45" s="2463"/>
      <c r="AH45" s="2463"/>
      <c r="AI45" s="2463"/>
      <c r="AJ45" s="2463"/>
      <c r="AK45" s="2463"/>
      <c r="AL45" s="2464"/>
      <c r="AM45" s="1185" t="s">
        <v>407</v>
      </c>
      <c r="AO45" s="437"/>
      <c r="AP45" s="437" t="str">
        <f t="shared" si="1"/>
        <v xml:space="preserve">Наименование системы теплоснабжения </v>
      </c>
      <c r="AQ45" s="437"/>
      <c r="AR45" s="437"/>
      <c r="AS45" s="1082">
        <v>23</v>
      </c>
    </row>
    <row r="46" spans="1:45" ht="21.95" customHeight="1">
      <c r="A46" s="1290" t="s">
        <v>189</v>
      </c>
      <c r="B46" s="1290" t="s">
        <v>190</v>
      </c>
      <c r="C46" s="1290" t="s">
        <v>191</v>
      </c>
      <c r="D46" s="1290" t="s">
        <v>192</v>
      </c>
      <c r="E46" s="2469"/>
      <c r="F46" s="2469"/>
      <c r="G46" s="2469"/>
      <c r="H46" s="2468">
        <v>1</v>
      </c>
      <c r="I46" s="1290"/>
      <c r="J46" s="1290"/>
      <c r="K46" s="1290"/>
      <c r="L46" s="1291"/>
      <c r="M46" s="1292"/>
      <c r="N46" s="1292"/>
      <c r="O46" s="1292"/>
      <c r="P46" s="291"/>
      <c r="Q46" s="289"/>
      <c r="R46" s="290"/>
      <c r="S46" s="1263" t="str">
        <f>INDEX(PT_DIFFERENTIATION_NUM_IST_TE,MATCH(D46,PT_DIFFERENTIATION_IST_TE_ID,0))</f>
        <v>...</v>
      </c>
      <c r="T46" s="248" t="s">
        <v>408</v>
      </c>
      <c r="U46" s="238"/>
      <c r="V46" s="2462"/>
      <c r="W46" s="2463"/>
      <c r="X46" s="2463"/>
      <c r="Y46" s="2463"/>
      <c r="Z46" s="2463"/>
      <c r="AA46" s="2463"/>
      <c r="AB46" s="2463"/>
      <c r="AC46" s="2464"/>
      <c r="AD46" s="2462" t="str">
        <f>INDEX(PT_DIFFERENTIATION_IST_TE,MATCH(D46,PT_DIFFERENTIATION_IST_TE_ID,0))</f>
        <v/>
      </c>
      <c r="AE46" s="2463"/>
      <c r="AF46" s="2463"/>
      <c r="AG46" s="2463"/>
      <c r="AH46" s="2463"/>
      <c r="AI46" s="2463"/>
      <c r="AJ46" s="2463"/>
      <c r="AK46" s="2463"/>
      <c r="AL46" s="2464"/>
      <c r="AM46" s="1185" t="s">
        <v>409</v>
      </c>
      <c r="AO46" s="437"/>
      <c r="AP46" s="437" t="str">
        <f t="shared" si="1"/>
        <v xml:space="preserve">Источник тепловой энергии  </v>
      </c>
      <c r="AQ46" s="437"/>
      <c r="AR46" s="437"/>
      <c r="AS46" s="1082">
        <v>21</v>
      </c>
    </row>
    <row r="47" spans="1:45" s="1569" customFormat="1" ht="0" hidden="1" customHeight="1">
      <c r="A47" s="1270" t="s">
        <v>189</v>
      </c>
      <c r="B47" s="1270" t="s">
        <v>190</v>
      </c>
      <c r="C47" s="1270" t="s">
        <v>191</v>
      </c>
      <c r="D47" s="1270" t="s">
        <v>192</v>
      </c>
      <c r="E47" s="2469"/>
      <c r="F47" s="2469"/>
      <c r="G47" s="2469"/>
      <c r="H47" s="2469"/>
      <c r="I47" s="2470" t="str">
        <f>S46&amp;".1"</f>
        <v>....1</v>
      </c>
      <c r="J47" s="1270"/>
      <c r="K47" s="1270"/>
      <c r="L47" s="1273" t="s">
        <v>410</v>
      </c>
      <c r="M47" s="447"/>
      <c r="N47" s="447"/>
      <c r="O47" s="447"/>
      <c r="P47" s="2472">
        <v>1</v>
      </c>
      <c r="Q47" s="1258"/>
      <c r="R47" s="293"/>
      <c r="S47" s="972"/>
      <c r="T47" s="1310"/>
      <c r="U47" s="1311"/>
      <c r="V47" s="2509"/>
      <c r="W47" s="2510"/>
      <c r="X47" s="2510"/>
      <c r="Y47" s="2510"/>
      <c r="Z47" s="2510"/>
      <c r="AA47" s="2510"/>
      <c r="AB47" s="2510"/>
      <c r="AC47" s="2511"/>
      <c r="AD47" s="2509"/>
      <c r="AE47" s="2510"/>
      <c r="AF47" s="2510"/>
      <c r="AG47" s="2510"/>
      <c r="AH47" s="2510"/>
      <c r="AI47" s="2510"/>
      <c r="AJ47" s="2510"/>
      <c r="AK47" s="2510"/>
      <c r="AL47" s="2511"/>
      <c r="AM47" s="1312"/>
      <c r="AO47" s="437"/>
      <c r="AP47" s="437" t="str">
        <f t="shared" si="1"/>
        <v/>
      </c>
      <c r="AQ47" s="437"/>
      <c r="AR47" s="437"/>
      <c r="AS47" s="448">
        <v>0</v>
      </c>
    </row>
    <row r="48" spans="1:45" ht="21.95" customHeight="1">
      <c r="A48" s="1290" t="s">
        <v>189</v>
      </c>
      <c r="B48" s="1290" t="s">
        <v>190</v>
      </c>
      <c r="C48" s="1290" t="s">
        <v>191</v>
      </c>
      <c r="D48" s="1290" t="s">
        <v>192</v>
      </c>
      <c r="E48" s="2469"/>
      <c r="F48" s="2469"/>
      <c r="G48" s="2469"/>
      <c r="H48" s="2469"/>
      <c r="I48" s="2471"/>
      <c r="J48" s="2470" t="str">
        <f>S46&amp;".1"</f>
        <v>....1</v>
      </c>
      <c r="K48" s="1290"/>
      <c r="L48" s="1291" t="s">
        <v>413</v>
      </c>
      <c r="P48" s="2472"/>
      <c r="Q48" s="2472">
        <v>1</v>
      </c>
      <c r="R48" s="294"/>
      <c r="S48" s="1263" t="str">
        <f>$J48</f>
        <v>....1</v>
      </c>
      <c r="T48" s="224" t="s">
        <v>414</v>
      </c>
      <c r="U48" s="238"/>
      <c r="V48" s="2456"/>
      <c r="W48" s="2457"/>
      <c r="X48" s="2457"/>
      <c r="Y48" s="2457"/>
      <c r="Z48" s="2457"/>
      <c r="AA48" s="2457"/>
      <c r="AB48" s="2457"/>
      <c r="AC48" s="2458"/>
      <c r="AD48" s="2456"/>
      <c r="AE48" s="2457"/>
      <c r="AF48" s="2457"/>
      <c r="AG48" s="2457"/>
      <c r="AH48" s="2457"/>
      <c r="AI48" s="2457"/>
      <c r="AJ48" s="2457"/>
      <c r="AK48" s="2457"/>
      <c r="AL48" s="2458"/>
      <c r="AM48" s="1185" t="s">
        <v>415</v>
      </c>
      <c r="AO48" s="437"/>
      <c r="AP48" s="437" t="str">
        <f t="shared" si="1"/>
        <v>Группа потребителей</v>
      </c>
      <c r="AQ48" s="437"/>
      <c r="AR48" s="437"/>
      <c r="AS48" s="1082">
        <v>21</v>
      </c>
    </row>
    <row r="49" spans="1:45" ht="21.95" customHeight="1">
      <c r="A49" s="1290" t="s">
        <v>189</v>
      </c>
      <c r="B49" s="1290" t="s">
        <v>190</v>
      </c>
      <c r="C49" s="1290" t="s">
        <v>191</v>
      </c>
      <c r="D49" s="1290" t="s">
        <v>192</v>
      </c>
      <c r="E49" s="2469"/>
      <c r="F49" s="2469"/>
      <c r="G49" s="2469"/>
      <c r="H49" s="2469"/>
      <c r="I49" s="2471"/>
      <c r="J49" s="2471"/>
      <c r="K49" s="2470" t="str">
        <f>J48&amp;".1"</f>
        <v>....1.1</v>
      </c>
      <c r="L49" s="1291" t="s">
        <v>416</v>
      </c>
      <c r="P49" s="2472"/>
      <c r="Q49" s="2472"/>
      <c r="R49" s="294">
        <v>1</v>
      </c>
      <c r="S49" s="1263" t="str">
        <f>$K49</f>
        <v>....1.1</v>
      </c>
      <c r="T49" s="1274"/>
      <c r="U49" s="238"/>
      <c r="V49" s="688"/>
      <c r="W49" s="263"/>
      <c r="X49" s="688"/>
      <c r="Y49" s="1184"/>
      <c r="Z49" s="2473"/>
      <c r="AA49" s="2342" t="s">
        <v>67</v>
      </c>
      <c r="AB49" s="2473"/>
      <c r="AC49" s="2342" t="s">
        <v>67</v>
      </c>
      <c r="AD49" s="688"/>
      <c r="AE49" s="263"/>
      <c r="AF49" s="688"/>
      <c r="AG49" s="1184"/>
      <c r="AH49" s="2473"/>
      <c r="AI49" s="2342" t="s">
        <v>67</v>
      </c>
      <c r="AJ49" s="2475"/>
      <c r="AK49" s="2342" t="s">
        <v>67</v>
      </c>
      <c r="AL49" s="1275"/>
      <c r="AM49" s="2491" t="s">
        <v>459</v>
      </c>
      <c r="AN49" s="448" t="e">
        <f ca="1">STRCHECKDATE(V50:AL50)</f>
        <v>#NAME?</v>
      </c>
      <c r="AO49" s="437"/>
      <c r="AP49" s="437" t="str">
        <f t="shared" si="1"/>
        <v/>
      </c>
      <c r="AQ49" s="437"/>
      <c r="AR49" s="437"/>
      <c r="AS49" s="1082">
        <v>21</v>
      </c>
    </row>
    <row r="50" spans="1:45" ht="1.1499999999999999" customHeight="1">
      <c r="A50" s="1290" t="s">
        <v>189</v>
      </c>
      <c r="B50" s="1290" t="s">
        <v>190</v>
      </c>
      <c r="C50" s="1290" t="s">
        <v>191</v>
      </c>
      <c r="D50" s="1290" t="s">
        <v>192</v>
      </c>
      <c r="E50" s="2469"/>
      <c r="F50" s="2469"/>
      <c r="G50" s="2469"/>
      <c r="H50" s="2469"/>
      <c r="I50" s="2471"/>
      <c r="J50" s="2471"/>
      <c r="K50" s="2470"/>
      <c r="L50" s="1291"/>
      <c r="P50" s="2472"/>
      <c r="Q50" s="2472"/>
      <c r="R50" s="294"/>
      <c r="S50" s="1269"/>
      <c r="T50" s="238"/>
      <c r="U50" s="238"/>
      <c r="V50" s="263"/>
      <c r="W50" s="263"/>
      <c r="X50" s="263"/>
      <c r="Y50" s="266" t="str">
        <f>Z49&amp;"-"&amp;AB49</f>
        <v>-</v>
      </c>
      <c r="Z50" s="2474"/>
      <c r="AA50" s="2342"/>
      <c r="AB50" s="2474"/>
      <c r="AC50" s="2342"/>
      <c r="AD50" s="263"/>
      <c r="AE50" s="263"/>
      <c r="AF50" s="263"/>
      <c r="AG50" s="266" t="str">
        <f>AH49&amp;"-"&amp;AJ49</f>
        <v>-</v>
      </c>
      <c r="AH50" s="2474"/>
      <c r="AI50" s="2342"/>
      <c r="AJ50" s="2476"/>
      <c r="AK50" s="2342"/>
      <c r="AL50" s="1276"/>
      <c r="AM50" s="2492"/>
      <c r="AO50" s="437"/>
      <c r="AP50" s="437" t="str">
        <f t="shared" si="1"/>
        <v/>
      </c>
      <c r="AQ50" s="437"/>
      <c r="AR50" s="437"/>
      <c r="AS50" s="1082">
        <v>1</v>
      </c>
    </row>
    <row r="51" spans="1:45" ht="11.45" customHeight="1">
      <c r="A51" s="1290" t="s">
        <v>189</v>
      </c>
      <c r="B51" s="1290" t="s">
        <v>190</v>
      </c>
      <c r="C51" s="1290" t="s">
        <v>191</v>
      </c>
      <c r="D51" s="1290" t="s">
        <v>192</v>
      </c>
      <c r="E51" s="2469"/>
      <c r="F51" s="2469"/>
      <c r="G51" s="2469"/>
      <c r="H51" s="2469"/>
      <c r="I51" s="2471"/>
      <c r="J51" s="2470"/>
      <c r="K51" s="1290"/>
      <c r="L51" s="1291"/>
      <c r="P51" s="2472"/>
      <c r="Q51" s="2472"/>
      <c r="R51" s="293"/>
      <c r="S51" s="1205"/>
      <c r="T51" s="225" t="s">
        <v>418</v>
      </c>
      <c r="U51" s="304"/>
      <c r="V51" s="304"/>
      <c r="W51" s="304"/>
      <c r="X51" s="304"/>
      <c r="Y51" s="304"/>
      <c r="Z51" s="304"/>
      <c r="AA51" s="304"/>
      <c r="AB51" s="304"/>
      <c r="AC51" s="304"/>
      <c r="AD51" s="304"/>
      <c r="AE51" s="304"/>
      <c r="AF51" s="304"/>
      <c r="AG51" s="304"/>
      <c r="AH51" s="304"/>
      <c r="AI51" s="304"/>
      <c r="AJ51" s="304"/>
      <c r="AK51" s="304"/>
      <c r="AL51" s="262"/>
      <c r="AM51" s="2493"/>
      <c r="AO51" s="437"/>
      <c r="AP51" s="437" t="str">
        <f t="shared" si="1"/>
        <v>Добавить вид теплоносителя (параметры теплоносителя)</v>
      </c>
      <c r="AQ51" s="437"/>
      <c r="AR51" s="437"/>
      <c r="AS51" s="1082">
        <v>11</v>
      </c>
    </row>
    <row r="52" spans="1:45" ht="11.45" customHeight="1">
      <c r="A52" s="1290" t="s">
        <v>189</v>
      </c>
      <c r="B52" s="1290" t="s">
        <v>190</v>
      </c>
      <c r="C52" s="1290" t="s">
        <v>191</v>
      </c>
      <c r="D52" s="1290" t="s">
        <v>192</v>
      </c>
      <c r="E52" s="2469"/>
      <c r="F52" s="2469"/>
      <c r="G52" s="2469"/>
      <c r="H52" s="2469"/>
      <c r="I52" s="2470"/>
      <c r="J52" s="1290"/>
      <c r="K52" s="1290"/>
      <c r="L52" s="1291"/>
      <c r="P52" s="2472"/>
      <c r="Q52" s="1258"/>
      <c r="R52" s="293"/>
      <c r="S52" s="1205"/>
      <c r="T52" s="302" t="s">
        <v>419</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189</v>
      </c>
      <c r="B53" s="1290" t="s">
        <v>190</v>
      </c>
      <c r="C53" s="1290" t="s">
        <v>191</v>
      </c>
      <c r="D53" s="1290" t="s">
        <v>192</v>
      </c>
      <c r="E53" s="2469"/>
      <c r="F53" s="2469"/>
      <c r="G53" s="2469"/>
      <c r="H53" s="2468"/>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189</v>
      </c>
      <c r="B54" s="1270" t="s">
        <v>190</v>
      </c>
      <c r="C54" s="1270" t="s">
        <v>191</v>
      </c>
      <c r="D54" s="1241"/>
      <c r="E54" s="2469"/>
      <c r="F54" s="2469"/>
      <c r="G54" s="2468"/>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189</v>
      </c>
      <c r="B55" s="1270" t="s">
        <v>190</v>
      </c>
      <c r="C55" s="1241"/>
      <c r="D55" s="1241"/>
      <c r="E55" s="2469"/>
      <c r="F55" s="2468"/>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189</v>
      </c>
      <c r="B56" s="1270"/>
      <c r="C56" s="1270"/>
      <c r="D56" s="1270"/>
      <c r="E56" s="2468"/>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467"/>
      <c r="U59" s="2467"/>
      <c r="V59" s="2467"/>
      <c r="W59" s="2467"/>
      <c r="X59" s="2467"/>
      <c r="Y59" s="2467"/>
      <c r="Z59" s="2467"/>
      <c r="AA59" s="2467"/>
      <c r="AB59" s="2467"/>
      <c r="AC59" s="2467"/>
      <c r="AD59" s="2467"/>
      <c r="AE59" s="2467"/>
      <c r="AF59" s="2467"/>
      <c r="AG59" s="2467"/>
      <c r="AH59" s="2467"/>
      <c r="AI59" s="2467"/>
      <c r="AJ59" s="2467"/>
      <c r="AK59" s="2467"/>
      <c r="AL59" s="2467"/>
      <c r="AM59" s="2467"/>
      <c r="AS59" s="1082">
        <v>22</v>
      </c>
    </row>
    <row r="60" spans="1:45" ht="30.4" customHeight="1">
      <c r="O60" s="474"/>
      <c r="T60" s="2467"/>
      <c r="U60" s="2467"/>
      <c r="V60" s="2467"/>
      <c r="W60" s="2467"/>
      <c r="X60" s="2467"/>
      <c r="Y60" s="2467"/>
      <c r="Z60" s="2467"/>
      <c r="AA60" s="2467"/>
      <c r="AB60" s="2467"/>
      <c r="AC60" s="2467"/>
      <c r="AD60" s="2467"/>
      <c r="AE60" s="2467"/>
      <c r="AF60" s="2467"/>
      <c r="AG60" s="2467"/>
      <c r="AH60" s="2467"/>
      <c r="AI60" s="2467"/>
      <c r="AJ60" s="2467"/>
      <c r="AK60" s="2467"/>
      <c r="AL60" s="2467"/>
      <c r="AM60" s="2467"/>
      <c r="AS60" s="1082">
        <v>29</v>
      </c>
    </row>
    <row r="61" spans="1:45" ht="42" customHeight="1">
      <c r="O61" s="474"/>
      <c r="T61" s="2467"/>
      <c r="U61" s="2467"/>
      <c r="V61" s="2467"/>
      <c r="W61" s="2467"/>
      <c r="X61" s="2467"/>
      <c r="Y61" s="2467"/>
      <c r="Z61" s="2467"/>
      <c r="AA61" s="2467"/>
      <c r="AB61" s="2467"/>
      <c r="AC61" s="2467"/>
      <c r="AD61" s="2467"/>
      <c r="AE61" s="2467"/>
      <c r="AF61" s="2467"/>
      <c r="AG61" s="2467"/>
      <c r="AH61" s="2467"/>
      <c r="AI61" s="2467"/>
      <c r="AJ61" s="2467"/>
      <c r="AK61" s="2467"/>
      <c r="AL61" s="2467"/>
      <c r="AM61" s="2467"/>
      <c r="AS61" s="1082">
        <v>40</v>
      </c>
    </row>
    <row r="62" spans="1:45" ht="14.65" customHeight="1">
      <c r="O62" s="474"/>
      <c r="AS62" s="1082">
        <v>14</v>
      </c>
    </row>
    <row r="63" spans="1:45" ht="21" customHeight="1">
      <c r="O63" s="474"/>
      <c r="S63" s="1180"/>
      <c r="T63" s="2372"/>
      <c r="U63" s="2467"/>
      <c r="V63" s="2467"/>
      <c r="W63" s="2467"/>
      <c r="X63" s="2467"/>
      <c r="Y63" s="2467"/>
      <c r="Z63" s="2467"/>
      <c r="AA63" s="2467"/>
      <c r="AB63" s="2467"/>
      <c r="AC63" s="2467"/>
      <c r="AD63" s="2467"/>
      <c r="AE63" s="2467"/>
      <c r="AF63" s="2467"/>
      <c r="AG63" s="2467"/>
      <c r="AH63" s="2467"/>
      <c r="AI63" s="2467"/>
      <c r="AJ63" s="2467"/>
      <c r="AK63" s="2467"/>
      <c r="AL63" s="2467"/>
      <c r="AM63" s="2467"/>
      <c r="AS63" s="1082">
        <v>20</v>
      </c>
    </row>
    <row r="64" spans="1:45" ht="29.25" customHeight="1">
      <c r="O64" s="474"/>
      <c r="T64" s="2467"/>
      <c r="U64" s="2467"/>
      <c r="V64" s="2467"/>
      <c r="W64" s="2467"/>
      <c r="X64" s="2467"/>
      <c r="Y64" s="2467"/>
      <c r="Z64" s="2467"/>
      <c r="AA64" s="2467"/>
      <c r="AB64" s="2467"/>
      <c r="AC64" s="2467"/>
      <c r="AD64" s="2467"/>
      <c r="AE64" s="2467"/>
      <c r="AF64" s="2467"/>
      <c r="AG64" s="2467"/>
      <c r="AH64" s="2467"/>
      <c r="AI64" s="2467"/>
      <c r="AJ64" s="2467"/>
      <c r="AK64" s="2467"/>
      <c r="AL64" s="2467"/>
      <c r="AM64" s="2467"/>
      <c r="AS64" s="1082">
        <v>28</v>
      </c>
    </row>
    <row r="65" spans="1:45" ht="35.65" customHeight="1">
      <c r="T65" s="2467"/>
      <c r="U65" s="2467"/>
      <c r="V65" s="2467"/>
      <c r="W65" s="2467"/>
      <c r="X65" s="2467"/>
      <c r="Y65" s="2467"/>
      <c r="Z65" s="2467"/>
      <c r="AA65" s="2467"/>
      <c r="AB65" s="2467"/>
      <c r="AC65" s="2467"/>
      <c r="AD65" s="2467"/>
      <c r="AE65" s="2467"/>
      <c r="AF65" s="2467"/>
      <c r="AG65" s="2467"/>
      <c r="AH65" s="2467"/>
      <c r="AI65" s="2467"/>
      <c r="AJ65" s="2467"/>
      <c r="AK65" s="2467"/>
      <c r="AL65" s="2467"/>
      <c r="AM65" s="2467"/>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E59DB-C79F-9807-312C-DA009A082D58}">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7109375" style="2008" hidden="1" customWidth="1"/>
    <col min="17" max="18" width="3" style="282" customWidth="1"/>
    <col min="19" max="19" width="12" style="2009"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468">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462"/>
      <c r="W2" s="2463"/>
      <c r="X2" s="2463"/>
      <c r="Y2" s="2463"/>
      <c r="Z2" s="2463"/>
      <c r="AA2" s="2463"/>
      <c r="AB2" s="2463"/>
      <c r="AC2" s="2464"/>
      <c r="AD2" s="2462" t="e">
        <f>INDEX(PT_DIFFERENTIATION_NTAR,MATCH(A2,PT_DIFFERENTIATION_NTAR_ID,0))</f>
        <v>#N/A</v>
      </c>
      <c r="AE2" s="2463"/>
      <c r="AF2" s="2463"/>
      <c r="AG2" s="2463"/>
      <c r="AH2" s="2463"/>
      <c r="AI2" s="2463"/>
      <c r="AJ2" s="2463"/>
      <c r="AK2" s="2463"/>
      <c r="AL2" s="2464"/>
      <c r="AM2" s="1185" t="s">
        <v>403</v>
      </c>
      <c r="AO2" s="437"/>
      <c r="AP2" s="437" t="str">
        <f t="shared" ref="AP2:AP15" si="0">IF(T2="","",T2)</f>
        <v>Наименование тарифа</v>
      </c>
      <c r="AQ2" s="437"/>
      <c r="AR2" s="437"/>
      <c r="AS2" s="1082">
        <v>0</v>
      </c>
    </row>
    <row r="3" spans="1:45" ht="21" hidden="1" customHeight="1">
      <c r="A3" s="1290"/>
      <c r="B3" s="1290"/>
      <c r="C3" s="1290"/>
      <c r="D3" s="1290"/>
      <c r="E3" s="2469"/>
      <c r="F3" s="2468">
        <v>1</v>
      </c>
      <c r="G3" s="1290"/>
      <c r="H3" s="1290"/>
      <c r="I3" s="1290"/>
      <c r="J3" s="1290"/>
      <c r="K3" s="1290"/>
      <c r="L3" s="1291"/>
      <c r="M3" s="1292"/>
      <c r="N3" s="1292"/>
      <c r="O3" s="1292"/>
      <c r="P3" s="1259"/>
      <c r="Q3" s="289"/>
      <c r="R3" s="290"/>
      <c r="S3" s="1263" t="e">
        <f>INDEX(PT_DIFFERENTIATION_NUM_TER,MATCH(B3,PT_DIFFERENTIATION_TER_ID,0))</f>
        <v>#N/A</v>
      </c>
      <c r="T3" s="246" t="s">
        <v>404</v>
      </c>
      <c r="U3" s="238"/>
      <c r="V3" s="2462"/>
      <c r="W3" s="2463"/>
      <c r="X3" s="2463"/>
      <c r="Y3" s="2463"/>
      <c r="Z3" s="2463"/>
      <c r="AA3" s="2463"/>
      <c r="AB3" s="2463"/>
      <c r="AC3" s="2464"/>
      <c r="AD3" s="2462" t="e">
        <f>INDEX(PT_DIFFERENTIATION_TER,MATCH(B3,PT_DIFFERENTIATION_TER_ID,0))</f>
        <v>#N/A</v>
      </c>
      <c r="AE3" s="2463"/>
      <c r="AF3" s="2463"/>
      <c r="AG3" s="2463"/>
      <c r="AH3" s="2463"/>
      <c r="AI3" s="2463"/>
      <c r="AJ3" s="2463"/>
      <c r="AK3" s="2463"/>
      <c r="AL3" s="2464"/>
      <c r="AM3" s="1185" t="s">
        <v>405</v>
      </c>
      <c r="AO3" s="437"/>
      <c r="AP3" s="437" t="str">
        <f t="shared" si="0"/>
        <v>Территория действия тарифа</v>
      </c>
      <c r="AQ3" s="437"/>
      <c r="AR3" s="437"/>
      <c r="AS3" s="1082">
        <v>0</v>
      </c>
    </row>
    <row r="4" spans="1:45" ht="23.25" hidden="1" customHeight="1">
      <c r="A4" s="1290"/>
      <c r="B4" s="1290"/>
      <c r="C4" s="1290"/>
      <c r="D4" s="1290"/>
      <c r="E4" s="2469"/>
      <c r="F4" s="2469"/>
      <c r="G4" s="2468">
        <v>1</v>
      </c>
      <c r="H4" s="1290"/>
      <c r="I4" s="1290"/>
      <c r="J4" s="1290"/>
      <c r="K4" s="1290"/>
      <c r="L4" s="1291"/>
      <c r="M4" s="1292"/>
      <c r="N4" s="1292"/>
      <c r="O4" s="1292"/>
      <c r="P4" s="291"/>
      <c r="Q4" s="289"/>
      <c r="R4" s="290"/>
      <c r="S4" s="1263" t="e">
        <f>INDEX(PT_DIFFERENTIATION_NUM_CS,MATCH(C4,PT_DIFFERENTIATION_CS_ID,0))</f>
        <v>#N/A</v>
      </c>
      <c r="T4" s="247" t="s">
        <v>406</v>
      </c>
      <c r="U4" s="238"/>
      <c r="V4" s="2462"/>
      <c r="W4" s="2463"/>
      <c r="X4" s="2463"/>
      <c r="Y4" s="2463"/>
      <c r="Z4" s="2463"/>
      <c r="AA4" s="2463"/>
      <c r="AB4" s="2463"/>
      <c r="AC4" s="2464"/>
      <c r="AD4" s="2462" t="e">
        <f>INDEX(PT_DIFFERENTIATION_CS,MATCH(C4,PT_DIFFERENTIATION_CS_ID,0))</f>
        <v>#N/A</v>
      </c>
      <c r="AE4" s="2463"/>
      <c r="AF4" s="2463"/>
      <c r="AG4" s="2463"/>
      <c r="AH4" s="2463"/>
      <c r="AI4" s="2463"/>
      <c r="AJ4" s="2463"/>
      <c r="AK4" s="2463"/>
      <c r="AL4" s="2464"/>
      <c r="AM4" s="1185" t="s">
        <v>407</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469"/>
      <c r="F5" s="2469"/>
      <c r="G5" s="2469"/>
      <c r="H5" s="2468">
        <v>1</v>
      </c>
      <c r="I5" s="1290"/>
      <c r="J5" s="1290"/>
      <c r="K5" s="1290"/>
      <c r="L5" s="1291"/>
      <c r="M5" s="1292"/>
      <c r="N5" s="1292"/>
      <c r="O5" s="1292"/>
      <c r="P5" s="291"/>
      <c r="Q5" s="289"/>
      <c r="R5" s="290"/>
      <c r="S5" s="1263" t="e">
        <f>INDEX(PT_DIFFERENTIATION_NUM_IST_TE,MATCH(D5,PT_DIFFERENTIATION_IST_TE_ID,0))</f>
        <v>#N/A</v>
      </c>
      <c r="T5" s="248" t="s">
        <v>408</v>
      </c>
      <c r="U5" s="238"/>
      <c r="V5" s="2462"/>
      <c r="W5" s="2463"/>
      <c r="X5" s="2463"/>
      <c r="Y5" s="2463"/>
      <c r="Z5" s="2463"/>
      <c r="AA5" s="2463"/>
      <c r="AB5" s="2463"/>
      <c r="AC5" s="2464"/>
      <c r="AD5" s="2462" t="e">
        <f>INDEX(PT_DIFFERENTIATION_IST_TE,MATCH(D5,PT_DIFFERENTIATION_IST_TE_ID,0))</f>
        <v>#N/A</v>
      </c>
      <c r="AE5" s="2463"/>
      <c r="AF5" s="2463"/>
      <c r="AG5" s="2463"/>
      <c r="AH5" s="2463"/>
      <c r="AI5" s="2463"/>
      <c r="AJ5" s="2463"/>
      <c r="AK5" s="2463"/>
      <c r="AL5" s="2464"/>
      <c r="AM5" s="1185" t="s">
        <v>409</v>
      </c>
      <c r="AO5" s="437"/>
      <c r="AP5" s="437" t="str">
        <f t="shared" si="0"/>
        <v xml:space="preserve">Источник тепловой энергии  </v>
      </c>
      <c r="AQ5" s="437"/>
      <c r="AR5" s="437"/>
      <c r="AS5" s="1082">
        <v>0</v>
      </c>
    </row>
    <row r="6" spans="1:45" ht="14.25" hidden="1" customHeight="1">
      <c r="A6" s="1290"/>
      <c r="B6" s="1290"/>
      <c r="C6" s="1290"/>
      <c r="D6" s="1290"/>
      <c r="E6" s="2469"/>
      <c r="F6" s="2469"/>
      <c r="G6" s="2469"/>
      <c r="H6" s="2469"/>
      <c r="I6" s="2470" t="e">
        <f>S5&amp;".1"</f>
        <v>#N/A</v>
      </c>
      <c r="J6" s="1290"/>
      <c r="K6" s="1290"/>
      <c r="L6" s="1291" t="s">
        <v>410</v>
      </c>
      <c r="M6" s="474"/>
      <c r="P6" s="2472">
        <v>1</v>
      </c>
      <c r="Q6" s="1258"/>
      <c r="R6" s="293"/>
      <c r="S6" s="972"/>
      <c r="T6" s="1310"/>
      <c r="U6" s="1311"/>
      <c r="V6" s="2509"/>
      <c r="W6" s="2510"/>
      <c r="X6" s="2510"/>
      <c r="Y6" s="2510"/>
      <c r="Z6" s="2510"/>
      <c r="AA6" s="2510"/>
      <c r="AB6" s="2510"/>
      <c r="AC6" s="2511"/>
      <c r="AD6" s="2509"/>
      <c r="AE6" s="2510"/>
      <c r="AF6" s="2510"/>
      <c r="AG6" s="2510"/>
      <c r="AH6" s="2510"/>
      <c r="AI6" s="2510"/>
      <c r="AJ6" s="2510"/>
      <c r="AK6" s="2510"/>
      <c r="AL6" s="2511"/>
      <c r="AM6" s="1312"/>
      <c r="AO6" s="437"/>
      <c r="AP6" s="437" t="str">
        <f t="shared" si="0"/>
        <v/>
      </c>
      <c r="AQ6" s="437"/>
      <c r="AR6" s="437"/>
      <c r="AS6" s="1082">
        <v>0</v>
      </c>
    </row>
    <row r="7" spans="1:45" ht="21" hidden="1" customHeight="1">
      <c r="A7" s="1290"/>
      <c r="B7" s="1290"/>
      <c r="C7" s="1290"/>
      <c r="D7" s="1290"/>
      <c r="E7" s="2469"/>
      <c r="F7" s="2469"/>
      <c r="G7" s="2469"/>
      <c r="H7" s="2469"/>
      <c r="I7" s="2471"/>
      <c r="J7" s="2470" t="e">
        <f>I6&amp;".1"</f>
        <v>#N/A</v>
      </c>
      <c r="K7" s="1290"/>
      <c r="L7" s="1291" t="s">
        <v>413</v>
      </c>
      <c r="M7" s="474"/>
      <c r="N7" s="1293"/>
      <c r="P7" s="2472"/>
      <c r="Q7" s="2472">
        <v>1</v>
      </c>
      <c r="R7" s="294"/>
      <c r="S7" s="1263" t="e">
        <f>$J7</f>
        <v>#N/A</v>
      </c>
      <c r="T7" s="224" t="s">
        <v>414</v>
      </c>
      <c r="U7" s="238"/>
      <c r="V7" s="2456"/>
      <c r="W7" s="2457"/>
      <c r="X7" s="2457"/>
      <c r="Y7" s="2457"/>
      <c r="Z7" s="2457"/>
      <c r="AA7" s="2457"/>
      <c r="AB7" s="2457"/>
      <c r="AC7" s="2458"/>
      <c r="AD7" s="2456"/>
      <c r="AE7" s="2457"/>
      <c r="AF7" s="2457"/>
      <c r="AG7" s="2457"/>
      <c r="AH7" s="2457"/>
      <c r="AI7" s="2457"/>
      <c r="AJ7" s="2457"/>
      <c r="AK7" s="2457"/>
      <c r="AL7" s="2458"/>
      <c r="AM7" s="1185" t="s">
        <v>415</v>
      </c>
      <c r="AO7" s="437"/>
      <c r="AP7" s="437" t="str">
        <f t="shared" si="0"/>
        <v>Группа потребителей</v>
      </c>
      <c r="AQ7" s="437"/>
      <c r="AR7" s="437"/>
      <c r="AS7" s="1082">
        <v>0</v>
      </c>
    </row>
    <row r="8" spans="1:45" ht="21" hidden="1" customHeight="1">
      <c r="A8" s="1290"/>
      <c r="B8" s="1290"/>
      <c r="C8" s="1290"/>
      <c r="D8" s="1290"/>
      <c r="E8" s="2469"/>
      <c r="F8" s="2469"/>
      <c r="G8" s="2469"/>
      <c r="H8" s="2469"/>
      <c r="I8" s="2471"/>
      <c r="J8" s="2471"/>
      <c r="K8" s="2470" t="e">
        <f>J7&amp;".1"</f>
        <v>#N/A</v>
      </c>
      <c r="L8" s="1291" t="s">
        <v>416</v>
      </c>
      <c r="M8" s="474"/>
      <c r="N8" s="1293"/>
      <c r="O8" s="1293"/>
      <c r="P8" s="2472"/>
      <c r="Q8" s="2472"/>
      <c r="R8" s="294">
        <v>1</v>
      </c>
      <c r="S8" s="1263" t="e">
        <f>$K8</f>
        <v>#N/A</v>
      </c>
      <c r="T8" s="1274"/>
      <c r="U8" s="238"/>
      <c r="V8" s="688"/>
      <c r="W8" s="263"/>
      <c r="X8" s="688"/>
      <c r="Y8" s="1184"/>
      <c r="Z8" s="2473"/>
      <c r="AA8" s="2342" t="s">
        <v>67</v>
      </c>
      <c r="AB8" s="2473"/>
      <c r="AC8" s="2342" t="s">
        <v>67</v>
      </c>
      <c r="AD8" s="688"/>
      <c r="AE8" s="263"/>
      <c r="AF8" s="688"/>
      <c r="AG8" s="1184"/>
      <c r="AH8" s="2473"/>
      <c r="AI8" s="2342" t="s">
        <v>67</v>
      </c>
      <c r="AJ8" s="2473"/>
      <c r="AK8" s="2342" t="s">
        <v>67</v>
      </c>
      <c r="AL8" s="263"/>
      <c r="AM8" s="2491" t="s">
        <v>417</v>
      </c>
      <c r="AN8" s="448" t="e">
        <f ca="1">STRCHECKDATE(V9:AL9)</f>
        <v>#NAME?</v>
      </c>
      <c r="AO8" s="437"/>
      <c r="AP8" s="437" t="str">
        <f t="shared" si="0"/>
        <v/>
      </c>
      <c r="AQ8" s="437"/>
      <c r="AR8" s="437"/>
      <c r="AS8" s="1082">
        <v>0</v>
      </c>
    </row>
    <row r="9" spans="1:45" ht="14.25" hidden="1" customHeight="1">
      <c r="A9" s="1290"/>
      <c r="B9" s="1290"/>
      <c r="C9" s="1290"/>
      <c r="D9" s="1290"/>
      <c r="E9" s="2469"/>
      <c r="F9" s="2469"/>
      <c r="G9" s="2469"/>
      <c r="H9" s="2469"/>
      <c r="I9" s="2471"/>
      <c r="J9" s="2471"/>
      <c r="K9" s="2470"/>
      <c r="L9" s="1291"/>
      <c r="M9" s="474"/>
      <c r="N9" s="1293"/>
      <c r="O9" s="1293"/>
      <c r="P9" s="2472"/>
      <c r="Q9" s="2472"/>
      <c r="R9" s="294"/>
      <c r="S9" s="1269"/>
      <c r="T9" s="238"/>
      <c r="U9" s="238"/>
      <c r="V9" s="263"/>
      <c r="W9" s="263"/>
      <c r="X9" s="263"/>
      <c r="Y9" s="266" t="str">
        <f>Z8&amp;"-"&amp;AB8</f>
        <v>-</v>
      </c>
      <c r="Z9" s="2474"/>
      <c r="AA9" s="2342"/>
      <c r="AB9" s="2474"/>
      <c r="AC9" s="2342"/>
      <c r="AD9" s="263"/>
      <c r="AE9" s="263"/>
      <c r="AF9" s="263"/>
      <c r="AG9" s="266" t="str">
        <f>AH8&amp;"-"&amp;AJ8</f>
        <v>-</v>
      </c>
      <c r="AH9" s="2474"/>
      <c r="AI9" s="2342"/>
      <c r="AJ9" s="2474"/>
      <c r="AK9" s="2342"/>
      <c r="AL9" s="263"/>
      <c r="AM9" s="2492"/>
      <c r="AO9" s="437"/>
      <c r="AP9" s="437" t="str">
        <f t="shared" si="0"/>
        <v/>
      </c>
      <c r="AQ9" s="437"/>
      <c r="AR9" s="437"/>
      <c r="AS9" s="1082">
        <v>0</v>
      </c>
    </row>
    <row r="10" spans="1:45" ht="15" hidden="1" customHeight="1">
      <c r="A10" s="1290"/>
      <c r="B10" s="1290"/>
      <c r="C10" s="1290"/>
      <c r="D10" s="1290"/>
      <c r="E10" s="2469"/>
      <c r="F10" s="2469"/>
      <c r="G10" s="2469"/>
      <c r="H10" s="2469"/>
      <c r="I10" s="2471"/>
      <c r="J10" s="2470"/>
      <c r="K10" s="1290"/>
      <c r="L10" s="1291"/>
      <c r="M10" s="474"/>
      <c r="N10" s="1293"/>
      <c r="P10" s="2472"/>
      <c r="Q10" s="2472"/>
      <c r="R10" s="293"/>
      <c r="S10" s="1205"/>
      <c r="T10" s="225" t="s">
        <v>418</v>
      </c>
      <c r="U10" s="304"/>
      <c r="V10" s="304"/>
      <c r="W10" s="304"/>
      <c r="X10" s="304"/>
      <c r="Y10" s="304"/>
      <c r="Z10" s="304"/>
      <c r="AA10" s="304"/>
      <c r="AB10" s="304"/>
      <c r="AC10" s="304"/>
      <c r="AD10" s="304"/>
      <c r="AE10" s="304"/>
      <c r="AF10" s="304"/>
      <c r="AG10" s="304"/>
      <c r="AH10" s="304"/>
      <c r="AI10" s="304"/>
      <c r="AJ10" s="304"/>
      <c r="AK10" s="304"/>
      <c r="AL10" s="262"/>
      <c r="AM10" s="2493"/>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469"/>
      <c r="F11" s="2469"/>
      <c r="G11" s="2469"/>
      <c r="H11" s="2469"/>
      <c r="I11" s="2470"/>
      <c r="J11" s="1290"/>
      <c r="K11" s="1290"/>
      <c r="L11" s="1291"/>
      <c r="M11" s="474"/>
      <c r="P11" s="2472"/>
      <c r="Q11" s="1258"/>
      <c r="R11" s="293"/>
      <c r="S11" s="1205"/>
      <c r="T11" s="302" t="s">
        <v>419</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469"/>
      <c r="F12" s="2469"/>
      <c r="G12" s="2469"/>
      <c r="H12" s="2468"/>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469"/>
      <c r="F13" s="2469"/>
      <c r="G13" s="2468"/>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469"/>
      <c r="F14" s="2468"/>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468"/>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466"/>
      <c r="AI17" s="2465" t="s">
        <v>67</v>
      </c>
      <c r="AJ17" s="2466"/>
      <c r="AK17" s="2465" t="s">
        <v>67</v>
      </c>
      <c r="AS17" s="1082">
        <v>0</v>
      </c>
    </row>
    <row r="18" spans="1:45" ht="14.25" hidden="1" customHeight="1">
      <c r="AD18" s="1287"/>
      <c r="AE18" s="1287"/>
      <c r="AF18" s="1287"/>
      <c r="AG18" s="266" t="str">
        <f>AH17&amp;"-"&amp;AJ17</f>
        <v>-</v>
      </c>
      <c r="AH18" s="2465"/>
      <c r="AI18" s="2465"/>
      <c r="AJ18" s="2465"/>
      <c r="AK18" s="2465"/>
      <c r="AS18" s="1082">
        <v>0</v>
      </c>
    </row>
    <row r="19" spans="1:45" ht="14.25" hidden="1" customHeight="1">
      <c r="AK19" s="265"/>
      <c r="AS19" s="1082">
        <v>0</v>
      </c>
    </row>
    <row r="20" spans="1:45" s="1293" customFormat="1" ht="22.5" hidden="1" customHeight="1">
      <c r="L20" s="1256"/>
      <c r="M20" s="1289"/>
      <c r="N20" s="1289"/>
      <c r="O20" s="1294" t="s">
        <v>421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422</v>
      </c>
      <c r="P22" s="1289"/>
      <c r="Q22" s="1298"/>
      <c r="R22" s="1298"/>
      <c r="S22" s="666"/>
      <c r="T22" s="1087" t="s">
        <v>423</v>
      </c>
      <c r="AA22" s="124" t="s">
        <v>424</v>
      </c>
      <c r="AC22" s="124" t="s">
        <v>425</v>
      </c>
      <c r="AD22" s="1087" t="s">
        <v>423</v>
      </c>
      <c r="AI22" s="124" t="s">
        <v>426</v>
      </c>
      <c r="AK22" s="124" t="s">
        <v>425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4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49"/>
      <c r="U26" s="2449"/>
      <c r="V26" s="2449"/>
      <c r="W26" s="2449"/>
      <c r="X26" s="2449"/>
      <c r="Y26" s="2449"/>
      <c r="Z26" s="2449"/>
      <c r="AA26" s="2449"/>
      <c r="AB26" s="2449"/>
      <c r="AC26" s="2449"/>
      <c r="AD26" s="2449"/>
      <c r="AE26" s="2449"/>
      <c r="AF26" s="2449"/>
      <c r="AG26" s="2449"/>
      <c r="AH26" s="2449"/>
      <c r="AI26" s="2449"/>
      <c r="AJ26" s="2449"/>
      <c r="AK26" s="1170"/>
      <c r="AS26" s="1082">
        <v>51</v>
      </c>
    </row>
    <row r="27" spans="1:45" ht="14.65" customHeight="1">
      <c r="Q27" s="313"/>
      <c r="R27" s="313"/>
      <c r="S27" s="2421" t="str">
        <f>IF(org=0,"Не определено",org)</f>
        <v>МУП "Городские тепловые сети" МО  "город Курчатов"</v>
      </c>
      <c r="T27" s="2421"/>
      <c r="U27" s="2421"/>
      <c r="V27" s="2421"/>
      <c r="W27" s="2421"/>
      <c r="X27" s="2421"/>
      <c r="Y27" s="2421"/>
      <c r="Z27" s="2421"/>
      <c r="AA27" s="2421"/>
      <c r="AB27" s="2421"/>
      <c r="AC27" s="2421"/>
      <c r="AD27" s="2421"/>
      <c r="AE27" s="2421"/>
      <c r="AF27" s="2421"/>
      <c r="AG27" s="2421"/>
      <c r="AH27" s="2421"/>
      <c r="AI27" s="2421"/>
      <c r="AJ27" s="2421"/>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459" t="s">
        <v>42</v>
      </c>
      <c r="T29" s="2459"/>
      <c r="U29" s="1299"/>
      <c r="V29" s="2461" t="str">
        <f>IF(TITLE_NAME_OR_PR_CHANGE="",IF(TITLE_NAME_OR_PR="","",TITLE_NAME_OR_PR),TITLE_NAME_OR_PR_CHANGE)</f>
        <v/>
      </c>
      <c r="W29" s="2461"/>
      <c r="X29" s="2461"/>
      <c r="Y29" s="2461"/>
      <c r="Z29" s="2461"/>
      <c r="AA29" s="2461"/>
      <c r="AB29" s="2461"/>
      <c r="AC29" s="264"/>
      <c r="AD29" s="2461" t="str">
        <f>IF(TITLE_NAME_OR_PR_CHANGE="",IF(TITLE_NAME_OR_PR="","",TITLE_NAME_OR_PR),TITLE_NAME_OR_PR_CHANGE)</f>
        <v/>
      </c>
      <c r="AE29" s="2461"/>
      <c r="AF29" s="2461"/>
      <c r="AG29" s="2461"/>
      <c r="AH29" s="2461"/>
      <c r="AI29" s="2461"/>
      <c r="AJ29" s="2461"/>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459" t="s">
        <v>427</v>
      </c>
      <c r="T30" s="2459"/>
      <c r="U30" s="1299"/>
      <c r="V30" s="2460">
        <f>IF(TITLE_DATE_PR_CHANGE="",IF(TITLE_DATE_PR="","",TITLE_DATE_PR),TITLE_DATE_PR_CHANGE)</f>
        <v>45775</v>
      </c>
      <c r="W30" s="2460"/>
      <c r="X30" s="2460"/>
      <c r="Y30" s="2460"/>
      <c r="Z30" s="2460"/>
      <c r="AA30" s="2460"/>
      <c r="AB30" s="2460"/>
      <c r="AC30" s="264"/>
      <c r="AD30" s="2460">
        <f>IF(TITLE_DATE_PR_CHANGE="",IF(TITLE_DATE_PR="","",TITLE_DATE_PR),TITLE_DATE_PR_CHANGE)</f>
        <v>45775</v>
      </c>
      <c r="AE30" s="2460"/>
      <c r="AF30" s="2460"/>
      <c r="AG30" s="2460"/>
      <c r="AH30" s="2460"/>
      <c r="AI30" s="2460"/>
      <c r="AJ30" s="2460"/>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459" t="s">
        <v>428</v>
      </c>
      <c r="T31" s="2459"/>
      <c r="U31" s="1299"/>
      <c r="V31" s="2461" t="str">
        <f>IF(TITLE_NUMBER_PR_CHANGE="",IF(TITLE_NUMBER_PR="","",TITLE_NUMBER_PR),TITLE_NUMBER_PR_CHANGE)</f>
        <v>03.5-1382</v>
      </c>
      <c r="W31" s="2461"/>
      <c r="X31" s="2461"/>
      <c r="Y31" s="2461"/>
      <c r="Z31" s="2461"/>
      <c r="AA31" s="2461"/>
      <c r="AB31" s="2461"/>
      <c r="AC31" s="264"/>
      <c r="AD31" s="2461" t="str">
        <f>IF(TITLE_NUMBER_PR_CHANGE="",IF(TITLE_NUMBER_PR="","",TITLE_NUMBER_PR),TITLE_NUMBER_PR_CHANGE)</f>
        <v>03.5-1382</v>
      </c>
      <c r="AE31" s="2461"/>
      <c r="AF31" s="2461"/>
      <c r="AG31" s="2461"/>
      <c r="AH31" s="2461"/>
      <c r="AI31" s="2461"/>
      <c r="AJ31" s="2461"/>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459" t="s">
        <v>43</v>
      </c>
      <c r="T32" s="2459"/>
      <c r="U32" s="1299"/>
      <c r="V32" s="2461" t="str">
        <f>IF(TITLE_IST_PUB_CHANGE="",IF(TITLE_IST_PUB="","",TITLE_IST_PUB),TITLE_IST_PUB_CHANGE)</f>
        <v/>
      </c>
      <c r="W32" s="2461"/>
      <c r="X32" s="2461"/>
      <c r="Y32" s="2461"/>
      <c r="Z32" s="2461"/>
      <c r="AA32" s="2461"/>
      <c r="AB32" s="2461"/>
      <c r="AC32" s="264"/>
      <c r="AD32" s="2461" t="str">
        <f>IF(TITLE_IST_PUB_CHANGE="",IF(TITLE_IST_PUB="","",TITLE_IST_PUB),TITLE_IST_PUB_CHANGE)</f>
        <v/>
      </c>
      <c r="AE32" s="2461"/>
      <c r="AF32" s="2461"/>
      <c r="AG32" s="2461"/>
      <c r="AH32" s="2461"/>
      <c r="AI32" s="2461"/>
      <c r="AJ32" s="2461"/>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459" t="s">
        <v>429</v>
      </c>
      <c r="T34" s="2459"/>
      <c r="U34" s="1299"/>
      <c r="V34" s="2460">
        <f>IF(TITLE_DATE_PR_CHANGE="",IF(TITLE_DATE_PR="","",TITLE_DATE_PR),TITLE_DATE_PR_CHANGE)</f>
        <v>45775</v>
      </c>
      <c r="W34" s="2460"/>
      <c r="X34" s="2460"/>
      <c r="Y34" s="2460"/>
      <c r="Z34" s="2460"/>
      <c r="AA34" s="2460"/>
      <c r="AB34" s="2460"/>
      <c r="AC34" s="264"/>
      <c r="AD34" s="2460">
        <f>IF(TITLE_DATE_PR_CHANGE="",IF(TITLE_DATE_PR="","",TITLE_DATE_PR),TITLE_DATE_PR_CHANGE)</f>
        <v>45775</v>
      </c>
      <c r="AE34" s="2460"/>
      <c r="AF34" s="2460"/>
      <c r="AG34" s="2460"/>
      <c r="AH34" s="2460"/>
      <c r="AI34" s="2460"/>
      <c r="AJ34" s="2460"/>
      <c r="AK34" s="264"/>
      <c r="AL34" s="264"/>
      <c r="AM34" s="218"/>
      <c r="AN34" s="305"/>
      <c r="AO34" s="305"/>
      <c r="AP34" s="305"/>
      <c r="AQ34" s="305"/>
      <c r="AR34" s="305"/>
      <c r="AS34" s="355">
        <v>0</v>
      </c>
    </row>
    <row r="35" spans="1:45" s="1778" customFormat="1" ht="25.5" customHeight="1">
      <c r="A35" s="1295"/>
      <c r="B35" s="1295"/>
      <c r="C35" s="1295"/>
      <c r="D35" s="1295"/>
      <c r="E35" s="1295"/>
      <c r="F35" s="1295"/>
      <c r="G35" s="1295"/>
      <c r="H35" s="1295"/>
      <c r="I35" s="1295"/>
      <c r="J35" s="1295"/>
      <c r="K35" s="1295"/>
      <c r="L35" s="1296"/>
      <c r="M35" s="1295"/>
      <c r="N35" s="1295"/>
      <c r="O35" s="1295"/>
      <c r="S35" s="2459" t="s">
        <v>430</v>
      </c>
      <c r="T35" s="2459"/>
      <c r="U35" s="1299"/>
      <c r="V35" s="2461" t="str">
        <f>IF(TITLE_NUMBER_PR_CHANGE="",IF(TITLE_NUMBER_PR="","",TITLE_NUMBER_PR),TITLE_NUMBER_PR_CHANGE)</f>
        <v>03.5-1382</v>
      </c>
      <c r="W35" s="2461"/>
      <c r="X35" s="2461"/>
      <c r="Y35" s="2461"/>
      <c r="Z35" s="2461"/>
      <c r="AA35" s="2461"/>
      <c r="AB35" s="2461"/>
      <c r="AC35" s="264"/>
      <c r="AD35" s="2461" t="str">
        <f>IF(TITLE_NUMBER_PR_CHANGE="",IF(TITLE_NUMBER_PR="","",TITLE_NUMBER_PR),TITLE_NUMBER_PR_CHANGE)</f>
        <v>03.5-1382</v>
      </c>
      <c r="AE35" s="2461"/>
      <c r="AF35" s="2461"/>
      <c r="AG35" s="2461"/>
      <c r="AH35" s="2461"/>
      <c r="AI35" s="2461"/>
      <c r="AJ35" s="2461"/>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431</v>
      </c>
      <c r="AD36" s="264"/>
      <c r="AE36" s="264"/>
      <c r="AF36" s="264"/>
      <c r="AG36" s="264"/>
      <c r="AH36" s="264"/>
      <c r="AI36" s="264"/>
      <c r="AJ36" s="264"/>
      <c r="AK36" s="216" t="s">
        <v>431</v>
      </c>
      <c r="AN36" s="305"/>
      <c r="AO36" s="305"/>
      <c r="AP36" s="305"/>
      <c r="AQ36" s="305"/>
      <c r="AR36" s="305"/>
      <c r="AS36" s="355">
        <v>0</v>
      </c>
    </row>
    <row r="37" spans="1:45" ht="14.65" customHeight="1">
      <c r="Q37" s="313"/>
      <c r="R37" s="313"/>
      <c r="S37" s="1202"/>
      <c r="T37" s="300"/>
      <c r="U37" s="1171"/>
      <c r="V37" s="2480"/>
      <c r="W37" s="2480"/>
      <c r="X37" s="2480"/>
      <c r="Y37" s="2480"/>
      <c r="Z37" s="2480"/>
      <c r="AA37" s="2480"/>
      <c r="AB37" s="2480"/>
      <c r="AC37" s="2480"/>
      <c r="AD37" s="2480"/>
      <c r="AE37" s="2480"/>
      <c r="AF37" s="2480"/>
      <c r="AG37" s="2480"/>
      <c r="AH37" s="2480"/>
      <c r="AI37" s="2480"/>
      <c r="AJ37" s="2480"/>
      <c r="AK37" s="2480"/>
      <c r="AS37" s="1082">
        <v>14</v>
      </c>
    </row>
    <row r="38" spans="1:45" ht="14.65" customHeight="1">
      <c r="Q38" s="313"/>
      <c r="R38" s="313"/>
      <c r="S38" s="2332" t="s">
        <v>307</v>
      </c>
      <c r="T38" s="2332"/>
      <c r="U38" s="2332"/>
      <c r="V38" s="2332"/>
      <c r="W38" s="2332"/>
      <c r="X38" s="2332"/>
      <c r="Y38" s="2332"/>
      <c r="Z38" s="2332"/>
      <c r="AA38" s="2332"/>
      <c r="AB38" s="2332"/>
      <c r="AC38" s="2332"/>
      <c r="AD38" s="2332"/>
      <c r="AE38" s="2332"/>
      <c r="AF38" s="2332"/>
      <c r="AG38" s="2332"/>
      <c r="AH38" s="2332"/>
      <c r="AI38" s="2332"/>
      <c r="AJ38" s="2332"/>
      <c r="AK38" s="2332"/>
      <c r="AL38" s="2332"/>
      <c r="AM38" s="2332" t="s">
        <v>308</v>
      </c>
      <c r="AS38" s="1082">
        <v>14</v>
      </c>
    </row>
    <row r="39" spans="1:45" ht="14.65" customHeight="1">
      <c r="Q39" s="313"/>
      <c r="R39" s="313"/>
      <c r="S39" s="2481" t="s">
        <v>89</v>
      </c>
      <c r="T39" s="2429" t="s">
        <v>432</v>
      </c>
      <c r="U39" s="239"/>
      <c r="V39" s="2482" t="s">
        <v>433</v>
      </c>
      <c r="W39" s="2483"/>
      <c r="X39" s="2483"/>
      <c r="Y39" s="2483"/>
      <c r="Z39" s="2483"/>
      <c r="AA39" s="2483"/>
      <c r="AB39" s="2484"/>
      <c r="AC39" s="2485" t="s">
        <v>434</v>
      </c>
      <c r="AD39" s="2482" t="s">
        <v>433</v>
      </c>
      <c r="AE39" s="2483"/>
      <c r="AF39" s="2483"/>
      <c r="AG39" s="2483"/>
      <c r="AH39" s="2483"/>
      <c r="AI39" s="2483"/>
      <c r="AJ39" s="2484"/>
      <c r="AK39" s="2485" t="s">
        <v>435</v>
      </c>
      <c r="AL39" s="2488" t="s">
        <v>436</v>
      </c>
      <c r="AM39" s="2332"/>
      <c r="AS39" s="1082">
        <v>14</v>
      </c>
    </row>
    <row r="40" spans="1:45" ht="35.65" customHeight="1">
      <c r="Q40" s="313"/>
      <c r="R40" s="313"/>
      <c r="S40" s="2481"/>
      <c r="T40" s="2429"/>
      <c r="U40" s="961"/>
      <c r="V40" s="2401" t="s">
        <v>437</v>
      </c>
      <c r="W40" s="2477"/>
      <c r="X40" s="2314" t="s">
        <v>439</v>
      </c>
      <c r="Y40" s="2313"/>
      <c r="Z40" s="2314" t="s">
        <v>440</v>
      </c>
      <c r="AA40" s="2319"/>
      <c r="AB40" s="2313"/>
      <c r="AC40" s="2486"/>
      <c r="AD40" s="2401" t="s">
        <v>458</v>
      </c>
      <c r="AE40" s="2477"/>
      <c r="AF40" s="2314" t="s">
        <v>439</v>
      </c>
      <c r="AG40" s="2313"/>
      <c r="AH40" s="2314" t="s">
        <v>440</v>
      </c>
      <c r="AI40" s="2319"/>
      <c r="AJ40" s="2313"/>
      <c r="AK40" s="2486"/>
      <c r="AL40" s="2489"/>
      <c r="AM40" s="2332"/>
      <c r="AS40" s="1082">
        <v>34</v>
      </c>
    </row>
    <row r="41" spans="1:45" ht="35.65" customHeight="1">
      <c r="A41" s="1297"/>
      <c r="B41" s="1297" t="s">
        <v>136</v>
      </c>
      <c r="C41" s="1297" t="s">
        <v>137</v>
      </c>
      <c r="D41" s="1297" t="s">
        <v>138</v>
      </c>
      <c r="E41" s="1291" t="s">
        <v>441</v>
      </c>
      <c r="F41" s="1291" t="s">
        <v>442</v>
      </c>
      <c r="G41" s="1291" t="s">
        <v>443</v>
      </c>
      <c r="H41" s="1291" t="s">
        <v>444</v>
      </c>
      <c r="I41" s="1291" t="s">
        <v>445</v>
      </c>
      <c r="J41" s="1291" t="s">
        <v>446</v>
      </c>
      <c r="K41" s="1291" t="s">
        <v>447</v>
      </c>
      <c r="L41" s="1291" t="s">
        <v>422</v>
      </c>
      <c r="Q41" s="313"/>
      <c r="R41" s="313"/>
      <c r="S41" s="2481"/>
      <c r="T41" s="2429"/>
      <c r="U41" s="240"/>
      <c r="V41" s="2454"/>
      <c r="W41" s="2478"/>
      <c r="X41" s="1149" t="s">
        <v>448</v>
      </c>
      <c r="Y41" s="1149" t="s">
        <v>449</v>
      </c>
      <c r="Z41" s="1265" t="s">
        <v>450</v>
      </c>
      <c r="AA41" s="2434" t="s">
        <v>451</v>
      </c>
      <c r="AB41" s="2448"/>
      <c r="AC41" s="2487"/>
      <c r="AD41" s="2454"/>
      <c r="AE41" s="2478"/>
      <c r="AF41" s="1149" t="s">
        <v>448</v>
      </c>
      <c r="AG41" s="1149" t="s">
        <v>449</v>
      </c>
      <c r="AH41" s="1265" t="s">
        <v>450</v>
      </c>
      <c r="AI41" s="2434" t="s">
        <v>451</v>
      </c>
      <c r="AJ41" s="2448"/>
      <c r="AK41" s="2487"/>
      <c r="AL41" s="2490"/>
      <c r="AM41" s="2332"/>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479">
        <f ca="1">OFFSET(AA42,0,-1)+1</f>
        <v>4</v>
      </c>
      <c r="AB42" s="2479"/>
      <c r="AC42" s="1262">
        <f ca="1">OFFSET(AC42,0,-2)+1</f>
        <v>5</v>
      </c>
      <c r="AD42" s="1262">
        <f ca="1">OFFSET(AD42,0,-1)+1</f>
        <v>6</v>
      </c>
      <c r="AE42" s="1262"/>
      <c r="AF42" s="1262">
        <f ca="1">OFFSET(AF42,0,-1)+1</f>
        <v>1</v>
      </c>
      <c r="AG42" s="1262">
        <f ca="1">OFFSET(AG42,0,-1)+1</f>
        <v>2</v>
      </c>
      <c r="AH42" s="1262">
        <f ca="1">OFFSET(AH42,0,-1)+1</f>
        <v>3</v>
      </c>
      <c r="AI42" s="2479">
        <f ca="1">OFFSET(AI42,0,-1)+1</f>
        <v>4</v>
      </c>
      <c r="AJ42" s="2479"/>
      <c r="AK42" s="1262">
        <f ca="1">OFFSET(AK42,0,-2)+1</f>
        <v>5</v>
      </c>
      <c r="AL42" s="1172">
        <f ca="1">OFFSET(AL42,0,-1)</f>
        <v>5</v>
      </c>
      <c r="AM42" s="1262">
        <f ca="1">OFFSET(AM42,0,-1)+1</f>
        <v>6</v>
      </c>
      <c r="AN42" s="448"/>
      <c r="AO42" s="448"/>
      <c r="AP42" s="448"/>
      <c r="AQ42" s="448"/>
      <c r="AR42" s="448"/>
      <c r="AS42" s="433">
        <v>0</v>
      </c>
    </row>
    <row r="43" spans="1:45" ht="21.95" customHeight="1">
      <c r="A43" s="1290" t="s">
        <v>195</v>
      </c>
      <c r="B43" s="1290"/>
      <c r="C43" s="1290"/>
      <c r="D43" s="1290"/>
      <c r="E43" s="2468">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462"/>
      <c r="W43" s="2463"/>
      <c r="X43" s="2463"/>
      <c r="Y43" s="2463"/>
      <c r="Z43" s="2463"/>
      <c r="AA43" s="2463"/>
      <c r="AB43" s="2463"/>
      <c r="AC43" s="2464"/>
      <c r="AD43" s="2462" t="str">
        <f>INDEX(PT_DIFFERENTIATION_NTAR,MATCH(A43,PT_DIFFERENTIATION_NTAR_ID,0))</f>
        <v/>
      </c>
      <c r="AE43" s="2463"/>
      <c r="AF43" s="2463"/>
      <c r="AG43" s="2463"/>
      <c r="AH43" s="2463"/>
      <c r="AI43" s="2463"/>
      <c r="AJ43" s="2463"/>
      <c r="AK43" s="2463"/>
      <c r="AL43" s="2464"/>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195</v>
      </c>
      <c r="B44" s="1290" t="s">
        <v>196</v>
      </c>
      <c r="C44" s="1290"/>
      <c r="D44" s="1290"/>
      <c r="E44" s="2469"/>
      <c r="F44" s="2468">
        <v>1</v>
      </c>
      <c r="G44" s="1290"/>
      <c r="H44" s="1290"/>
      <c r="I44" s="1290"/>
      <c r="J44" s="1290"/>
      <c r="K44" s="1290"/>
      <c r="L44" s="1291"/>
      <c r="M44" s="1292"/>
      <c r="N44" s="1292"/>
      <c r="O44" s="1292"/>
      <c r="P44" s="1259"/>
      <c r="Q44" s="289"/>
      <c r="R44" s="290"/>
      <c r="S44" s="1263" t="str">
        <f>INDEX(PT_DIFFERENTIATION_NUM_TER,MATCH(B44,PT_DIFFERENTIATION_TER_ID,0))</f>
        <v>.</v>
      </c>
      <c r="T44" s="246" t="s">
        <v>404</v>
      </c>
      <c r="U44" s="238"/>
      <c r="V44" s="2462"/>
      <c r="W44" s="2463"/>
      <c r="X44" s="2463"/>
      <c r="Y44" s="2463"/>
      <c r="Z44" s="2463"/>
      <c r="AA44" s="2463"/>
      <c r="AB44" s="2463"/>
      <c r="AC44" s="2464"/>
      <c r="AD44" s="2462" t="str">
        <f>INDEX(PT_DIFFERENTIATION_TER,MATCH(B44,PT_DIFFERENTIATION_TER_ID,0))</f>
        <v/>
      </c>
      <c r="AE44" s="2463"/>
      <c r="AF44" s="2463"/>
      <c r="AG44" s="2463"/>
      <c r="AH44" s="2463"/>
      <c r="AI44" s="2463"/>
      <c r="AJ44" s="2463"/>
      <c r="AK44" s="2463"/>
      <c r="AL44" s="2464"/>
      <c r="AM44" s="1185" t="s">
        <v>405</v>
      </c>
      <c r="AO44" s="437"/>
      <c r="AP44" s="437" t="str">
        <f t="shared" si="1"/>
        <v>Территория действия тарифа</v>
      </c>
      <c r="AQ44" s="437"/>
      <c r="AR44" s="437"/>
      <c r="AS44" s="1082">
        <v>21</v>
      </c>
    </row>
    <row r="45" spans="1:45" ht="24" customHeight="1">
      <c r="A45" s="1290" t="s">
        <v>195</v>
      </c>
      <c r="B45" s="1290" t="s">
        <v>196</v>
      </c>
      <c r="C45" s="1290" t="s">
        <v>197</v>
      </c>
      <c r="D45" s="1290"/>
      <c r="E45" s="2469"/>
      <c r="F45" s="2469"/>
      <c r="G45" s="2468">
        <v>1</v>
      </c>
      <c r="H45" s="1290"/>
      <c r="I45" s="1290"/>
      <c r="J45" s="1290"/>
      <c r="K45" s="1290"/>
      <c r="L45" s="1291"/>
      <c r="M45" s="1292"/>
      <c r="N45" s="1292"/>
      <c r="O45" s="1292"/>
      <c r="P45" s="291"/>
      <c r="Q45" s="289"/>
      <c r="R45" s="290"/>
      <c r="S45" s="1263" t="str">
        <f>INDEX(PT_DIFFERENTIATION_NUM_CS,MATCH(C45,PT_DIFFERENTIATION_CS_ID,0))</f>
        <v>..</v>
      </c>
      <c r="T45" s="247" t="s">
        <v>406</v>
      </c>
      <c r="U45" s="238"/>
      <c r="V45" s="2462"/>
      <c r="W45" s="2463"/>
      <c r="X45" s="2463"/>
      <c r="Y45" s="2463"/>
      <c r="Z45" s="2463"/>
      <c r="AA45" s="2463"/>
      <c r="AB45" s="2463"/>
      <c r="AC45" s="2464"/>
      <c r="AD45" s="2462" t="str">
        <f>INDEX(PT_DIFFERENTIATION_CS,MATCH(C45,PT_DIFFERENTIATION_CS_ID,0))</f>
        <v/>
      </c>
      <c r="AE45" s="2463"/>
      <c r="AF45" s="2463"/>
      <c r="AG45" s="2463"/>
      <c r="AH45" s="2463"/>
      <c r="AI45" s="2463"/>
      <c r="AJ45" s="2463"/>
      <c r="AK45" s="2463"/>
      <c r="AL45" s="2464"/>
      <c r="AM45" s="1185" t="s">
        <v>407</v>
      </c>
      <c r="AO45" s="437"/>
      <c r="AP45" s="437" t="str">
        <f t="shared" si="1"/>
        <v xml:space="preserve">Наименование системы теплоснабжения </v>
      </c>
      <c r="AQ45" s="437"/>
      <c r="AR45" s="437"/>
      <c r="AS45" s="1082">
        <v>23</v>
      </c>
    </row>
    <row r="46" spans="1:45" ht="21.95" customHeight="1">
      <c r="A46" s="1290" t="s">
        <v>195</v>
      </c>
      <c r="B46" s="1290" t="s">
        <v>196</v>
      </c>
      <c r="C46" s="1290" t="s">
        <v>197</v>
      </c>
      <c r="D46" s="1290" t="s">
        <v>198</v>
      </c>
      <c r="E46" s="2469"/>
      <c r="F46" s="2469"/>
      <c r="G46" s="2469"/>
      <c r="H46" s="2468">
        <v>1</v>
      </c>
      <c r="I46" s="1290"/>
      <c r="J46" s="1290"/>
      <c r="K46" s="1290"/>
      <c r="L46" s="1291"/>
      <c r="M46" s="1292"/>
      <c r="N46" s="1292"/>
      <c r="O46" s="1292"/>
      <c r="P46" s="291"/>
      <c r="Q46" s="289"/>
      <c r="R46" s="290"/>
      <c r="S46" s="1263" t="str">
        <f>INDEX(PT_DIFFERENTIATION_NUM_IST_TE,MATCH(D46,PT_DIFFERENTIATION_IST_TE_ID,0))</f>
        <v>...</v>
      </c>
      <c r="T46" s="248" t="s">
        <v>408</v>
      </c>
      <c r="U46" s="238"/>
      <c r="V46" s="2462"/>
      <c r="W46" s="2463"/>
      <c r="X46" s="2463"/>
      <c r="Y46" s="2463"/>
      <c r="Z46" s="2463"/>
      <c r="AA46" s="2463"/>
      <c r="AB46" s="2463"/>
      <c r="AC46" s="2464"/>
      <c r="AD46" s="2462" t="str">
        <f>INDEX(PT_DIFFERENTIATION_IST_TE,MATCH(D46,PT_DIFFERENTIATION_IST_TE_ID,0))</f>
        <v/>
      </c>
      <c r="AE46" s="2463"/>
      <c r="AF46" s="2463"/>
      <c r="AG46" s="2463"/>
      <c r="AH46" s="2463"/>
      <c r="AI46" s="2463"/>
      <c r="AJ46" s="2463"/>
      <c r="AK46" s="2463"/>
      <c r="AL46" s="2464"/>
      <c r="AM46" s="1185" t="s">
        <v>409</v>
      </c>
      <c r="AO46" s="437"/>
      <c r="AP46" s="437" t="str">
        <f t="shared" si="1"/>
        <v xml:space="preserve">Источник тепловой энергии  </v>
      </c>
      <c r="AQ46" s="437"/>
      <c r="AR46" s="437"/>
      <c r="AS46" s="1082">
        <v>21</v>
      </c>
    </row>
    <row r="47" spans="1:45" s="1569" customFormat="1" ht="0" hidden="1" customHeight="1">
      <c r="A47" s="1270" t="s">
        <v>195</v>
      </c>
      <c r="B47" s="1270" t="s">
        <v>196</v>
      </c>
      <c r="C47" s="1270" t="s">
        <v>197</v>
      </c>
      <c r="D47" s="1270" t="s">
        <v>198</v>
      </c>
      <c r="E47" s="2469"/>
      <c r="F47" s="2469"/>
      <c r="G47" s="2469"/>
      <c r="H47" s="2469"/>
      <c r="I47" s="2470" t="str">
        <f>S46&amp;".1"</f>
        <v>....1</v>
      </c>
      <c r="J47" s="1270"/>
      <c r="K47" s="1270"/>
      <c r="L47" s="1273" t="s">
        <v>410</v>
      </c>
      <c r="M47" s="447"/>
      <c r="N47" s="447"/>
      <c r="O47" s="447"/>
      <c r="P47" s="2472">
        <v>1</v>
      </c>
      <c r="Q47" s="1258"/>
      <c r="R47" s="293"/>
      <c r="S47" s="972"/>
      <c r="T47" s="1310"/>
      <c r="U47" s="1311"/>
      <c r="V47" s="2509"/>
      <c r="W47" s="2510"/>
      <c r="X47" s="2510"/>
      <c r="Y47" s="2510"/>
      <c r="Z47" s="2510"/>
      <c r="AA47" s="2510"/>
      <c r="AB47" s="2510"/>
      <c r="AC47" s="2511"/>
      <c r="AD47" s="2509"/>
      <c r="AE47" s="2510"/>
      <c r="AF47" s="2510"/>
      <c r="AG47" s="2510"/>
      <c r="AH47" s="2510"/>
      <c r="AI47" s="2510"/>
      <c r="AJ47" s="2510"/>
      <c r="AK47" s="2510"/>
      <c r="AL47" s="2511"/>
      <c r="AM47" s="1312"/>
      <c r="AO47" s="437"/>
      <c r="AP47" s="437" t="str">
        <f t="shared" si="1"/>
        <v/>
      </c>
      <c r="AQ47" s="437"/>
      <c r="AR47" s="437"/>
      <c r="AS47" s="448">
        <v>0</v>
      </c>
    </row>
    <row r="48" spans="1:45" ht="21.95" customHeight="1">
      <c r="A48" s="1290" t="s">
        <v>195</v>
      </c>
      <c r="B48" s="1290" t="s">
        <v>196</v>
      </c>
      <c r="C48" s="1290" t="s">
        <v>197</v>
      </c>
      <c r="D48" s="1290" t="s">
        <v>198</v>
      </c>
      <c r="E48" s="2469"/>
      <c r="F48" s="2469"/>
      <c r="G48" s="2469"/>
      <c r="H48" s="2469"/>
      <c r="I48" s="2471"/>
      <c r="J48" s="2470" t="str">
        <f>S46&amp;".1"</f>
        <v>....1</v>
      </c>
      <c r="K48" s="1290"/>
      <c r="L48" s="1291" t="s">
        <v>413</v>
      </c>
      <c r="P48" s="2472"/>
      <c r="Q48" s="2472">
        <v>1</v>
      </c>
      <c r="R48" s="294"/>
      <c r="S48" s="1263" t="str">
        <f>$J48</f>
        <v>....1</v>
      </c>
      <c r="T48" s="224" t="s">
        <v>414</v>
      </c>
      <c r="U48" s="238"/>
      <c r="V48" s="2456"/>
      <c r="W48" s="2457"/>
      <c r="X48" s="2457"/>
      <c r="Y48" s="2457"/>
      <c r="Z48" s="2457"/>
      <c r="AA48" s="2457"/>
      <c r="AB48" s="2457"/>
      <c r="AC48" s="2458"/>
      <c r="AD48" s="2456"/>
      <c r="AE48" s="2457"/>
      <c r="AF48" s="2457"/>
      <c r="AG48" s="2457"/>
      <c r="AH48" s="2457"/>
      <c r="AI48" s="2457"/>
      <c r="AJ48" s="2457"/>
      <c r="AK48" s="2457"/>
      <c r="AL48" s="2458"/>
      <c r="AM48" s="1185" t="s">
        <v>415</v>
      </c>
      <c r="AO48" s="437"/>
      <c r="AP48" s="437" t="str">
        <f t="shared" si="1"/>
        <v>Группа потребителей</v>
      </c>
      <c r="AQ48" s="437"/>
      <c r="AR48" s="437"/>
      <c r="AS48" s="1082">
        <v>21</v>
      </c>
    </row>
    <row r="49" spans="1:45" ht="21.95" customHeight="1">
      <c r="A49" s="1290" t="s">
        <v>195</v>
      </c>
      <c r="B49" s="1290" t="s">
        <v>196</v>
      </c>
      <c r="C49" s="1290" t="s">
        <v>197</v>
      </c>
      <c r="D49" s="1290" t="s">
        <v>198</v>
      </c>
      <c r="E49" s="2469"/>
      <c r="F49" s="2469"/>
      <c r="G49" s="2469"/>
      <c r="H49" s="2469"/>
      <c r="I49" s="2471"/>
      <c r="J49" s="2471"/>
      <c r="K49" s="2470" t="str">
        <f>J48&amp;".1"</f>
        <v>....1.1</v>
      </c>
      <c r="L49" s="1291" t="s">
        <v>416</v>
      </c>
      <c r="P49" s="2472"/>
      <c r="Q49" s="2472"/>
      <c r="R49" s="294">
        <v>1</v>
      </c>
      <c r="S49" s="1263" t="str">
        <f>$K49</f>
        <v>....1.1</v>
      </c>
      <c r="T49" s="1274"/>
      <c r="U49" s="238"/>
      <c r="V49" s="688"/>
      <c r="W49" s="263"/>
      <c r="X49" s="688"/>
      <c r="Y49" s="1184"/>
      <c r="Z49" s="2473"/>
      <c r="AA49" s="2342" t="s">
        <v>67</v>
      </c>
      <c r="AB49" s="2473"/>
      <c r="AC49" s="2342" t="s">
        <v>67</v>
      </c>
      <c r="AD49" s="688"/>
      <c r="AE49" s="263"/>
      <c r="AF49" s="688"/>
      <c r="AG49" s="1184"/>
      <c r="AH49" s="2473"/>
      <c r="AI49" s="2342" t="s">
        <v>67</v>
      </c>
      <c r="AJ49" s="2475"/>
      <c r="AK49" s="2342" t="s">
        <v>67</v>
      </c>
      <c r="AL49" s="1275"/>
      <c r="AM49" s="2491" t="s">
        <v>459</v>
      </c>
      <c r="AN49" s="448" t="e">
        <f ca="1">STRCHECKDATE(V50:AL50)</f>
        <v>#NAME?</v>
      </c>
      <c r="AO49" s="437"/>
      <c r="AP49" s="437" t="str">
        <f t="shared" si="1"/>
        <v/>
      </c>
      <c r="AQ49" s="437"/>
      <c r="AR49" s="437"/>
      <c r="AS49" s="1082">
        <v>21</v>
      </c>
    </row>
    <row r="50" spans="1:45" ht="0" hidden="1" customHeight="1">
      <c r="A50" s="1290" t="s">
        <v>195</v>
      </c>
      <c r="B50" s="1290" t="s">
        <v>196</v>
      </c>
      <c r="C50" s="1290" t="s">
        <v>197</v>
      </c>
      <c r="D50" s="1290" t="s">
        <v>198</v>
      </c>
      <c r="E50" s="2469"/>
      <c r="F50" s="2469"/>
      <c r="G50" s="2469"/>
      <c r="H50" s="2469"/>
      <c r="I50" s="2471"/>
      <c r="J50" s="2471"/>
      <c r="K50" s="2470"/>
      <c r="L50" s="1291"/>
      <c r="P50" s="2472"/>
      <c r="Q50" s="2472"/>
      <c r="R50" s="294"/>
      <c r="S50" s="1269"/>
      <c r="T50" s="238"/>
      <c r="U50" s="238"/>
      <c r="V50" s="263"/>
      <c r="W50" s="263"/>
      <c r="X50" s="263"/>
      <c r="Y50" s="266" t="str">
        <f>Z49&amp;"-"&amp;AB49</f>
        <v>-</v>
      </c>
      <c r="Z50" s="2474"/>
      <c r="AA50" s="2342"/>
      <c r="AB50" s="2474"/>
      <c r="AC50" s="2342"/>
      <c r="AD50" s="263"/>
      <c r="AE50" s="263"/>
      <c r="AF50" s="263"/>
      <c r="AG50" s="266" t="str">
        <f>AH49&amp;"-"&amp;AJ49</f>
        <v>-</v>
      </c>
      <c r="AH50" s="2474"/>
      <c r="AI50" s="2342"/>
      <c r="AJ50" s="2476"/>
      <c r="AK50" s="2342"/>
      <c r="AL50" s="1276"/>
      <c r="AM50" s="2492"/>
      <c r="AO50" s="437"/>
      <c r="AP50" s="437" t="str">
        <f t="shared" si="1"/>
        <v/>
      </c>
      <c r="AQ50" s="437"/>
      <c r="AR50" s="437"/>
      <c r="AS50" s="1082">
        <v>0</v>
      </c>
    </row>
    <row r="51" spans="1:45" ht="11.45" customHeight="1">
      <c r="A51" s="1290" t="s">
        <v>195</v>
      </c>
      <c r="B51" s="1290" t="s">
        <v>196</v>
      </c>
      <c r="C51" s="1290" t="s">
        <v>197</v>
      </c>
      <c r="D51" s="1290" t="s">
        <v>198</v>
      </c>
      <c r="E51" s="2469"/>
      <c r="F51" s="2469"/>
      <c r="G51" s="2469"/>
      <c r="H51" s="2469"/>
      <c r="I51" s="2471"/>
      <c r="J51" s="2470"/>
      <c r="K51" s="1290"/>
      <c r="L51" s="1291"/>
      <c r="P51" s="2472"/>
      <c r="Q51" s="2472"/>
      <c r="R51" s="293"/>
      <c r="S51" s="1205"/>
      <c r="T51" s="225" t="s">
        <v>418</v>
      </c>
      <c r="U51" s="304"/>
      <c r="V51" s="304"/>
      <c r="W51" s="304"/>
      <c r="X51" s="304"/>
      <c r="Y51" s="304"/>
      <c r="Z51" s="304"/>
      <c r="AA51" s="304"/>
      <c r="AB51" s="304"/>
      <c r="AC51" s="304"/>
      <c r="AD51" s="304"/>
      <c r="AE51" s="304"/>
      <c r="AF51" s="304"/>
      <c r="AG51" s="304"/>
      <c r="AH51" s="304"/>
      <c r="AI51" s="304"/>
      <c r="AJ51" s="304"/>
      <c r="AK51" s="304"/>
      <c r="AL51" s="262"/>
      <c r="AM51" s="2493"/>
      <c r="AO51" s="437"/>
      <c r="AP51" s="437" t="str">
        <f t="shared" si="1"/>
        <v>Добавить вид теплоносителя (параметры теплоносителя)</v>
      </c>
      <c r="AQ51" s="437"/>
      <c r="AR51" s="437"/>
      <c r="AS51" s="1082">
        <v>11</v>
      </c>
    </row>
    <row r="52" spans="1:45" ht="11.45" customHeight="1">
      <c r="A52" s="1290" t="s">
        <v>195</v>
      </c>
      <c r="B52" s="1290" t="s">
        <v>196</v>
      </c>
      <c r="C52" s="1290" t="s">
        <v>197</v>
      </c>
      <c r="D52" s="1290" t="s">
        <v>198</v>
      </c>
      <c r="E52" s="2469"/>
      <c r="F52" s="2469"/>
      <c r="G52" s="2469"/>
      <c r="H52" s="2469"/>
      <c r="I52" s="2470"/>
      <c r="J52" s="1290"/>
      <c r="K52" s="1290"/>
      <c r="L52" s="1291"/>
      <c r="P52" s="2472"/>
      <c r="Q52" s="1258"/>
      <c r="R52" s="293"/>
      <c r="S52" s="1205"/>
      <c r="T52" s="302" t="s">
        <v>419</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195</v>
      </c>
      <c r="B53" s="1290" t="s">
        <v>196</v>
      </c>
      <c r="C53" s="1290" t="s">
        <v>197</v>
      </c>
      <c r="D53" s="1290" t="s">
        <v>198</v>
      </c>
      <c r="E53" s="2469"/>
      <c r="F53" s="2469"/>
      <c r="G53" s="2469"/>
      <c r="H53" s="2468"/>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195</v>
      </c>
      <c r="B54" s="1270" t="s">
        <v>196</v>
      </c>
      <c r="C54" s="1270" t="s">
        <v>197</v>
      </c>
      <c r="D54" s="1241"/>
      <c r="E54" s="2469"/>
      <c r="F54" s="2469"/>
      <c r="G54" s="2468"/>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195</v>
      </c>
      <c r="B55" s="1270" t="s">
        <v>196</v>
      </c>
      <c r="C55" s="1241"/>
      <c r="D55" s="1241"/>
      <c r="E55" s="2469"/>
      <c r="F55" s="2468"/>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195</v>
      </c>
      <c r="B56" s="1270"/>
      <c r="C56" s="1270"/>
      <c r="D56" s="1270"/>
      <c r="E56" s="2468"/>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467"/>
      <c r="U59" s="2467"/>
      <c r="V59" s="2467"/>
      <c r="W59" s="2467"/>
      <c r="X59" s="2467"/>
      <c r="Y59" s="2467"/>
      <c r="Z59" s="2467"/>
      <c r="AA59" s="2467"/>
      <c r="AB59" s="2467"/>
      <c r="AC59" s="2467"/>
      <c r="AD59" s="2467"/>
      <c r="AE59" s="2467"/>
      <c r="AF59" s="2467"/>
      <c r="AG59" s="2467"/>
      <c r="AH59" s="2467"/>
      <c r="AI59" s="2467"/>
      <c r="AJ59" s="2467"/>
      <c r="AK59" s="2467"/>
      <c r="AL59" s="2467"/>
      <c r="AM59" s="2467"/>
      <c r="AS59" s="1082">
        <v>14</v>
      </c>
    </row>
    <row r="60" spans="1:45" ht="14.65" customHeight="1">
      <c r="O60" s="474"/>
      <c r="T60" s="2467"/>
      <c r="U60" s="2467"/>
      <c r="V60" s="2467"/>
      <c r="W60" s="2467"/>
      <c r="X60" s="2467"/>
      <c r="Y60" s="2467"/>
      <c r="Z60" s="2467"/>
      <c r="AA60" s="2467"/>
      <c r="AB60" s="2467"/>
      <c r="AC60" s="2467"/>
      <c r="AD60" s="2467"/>
      <c r="AE60" s="2467"/>
      <c r="AF60" s="2467"/>
      <c r="AG60" s="2467"/>
      <c r="AH60" s="2467"/>
      <c r="AI60" s="2467"/>
      <c r="AJ60" s="2467"/>
      <c r="AK60" s="2467"/>
      <c r="AL60" s="2467"/>
      <c r="AM60" s="2467"/>
      <c r="AS60" s="1082">
        <v>14</v>
      </c>
    </row>
    <row r="61" spans="1:45" ht="14.65" customHeight="1">
      <c r="O61" s="474"/>
      <c r="T61" s="2467"/>
      <c r="U61" s="2467"/>
      <c r="V61" s="2467"/>
      <c r="W61" s="2467"/>
      <c r="X61" s="2467"/>
      <c r="Y61" s="2467"/>
      <c r="Z61" s="2467"/>
      <c r="AA61" s="2467"/>
      <c r="AB61" s="2467"/>
      <c r="AC61" s="2467"/>
      <c r="AD61" s="2467"/>
      <c r="AE61" s="2467"/>
      <c r="AF61" s="2467"/>
      <c r="AG61" s="2467"/>
      <c r="AH61" s="2467"/>
      <c r="AI61" s="2467"/>
      <c r="AJ61" s="2467"/>
      <c r="AK61" s="2467"/>
      <c r="AL61" s="2467"/>
      <c r="AM61" s="2467"/>
      <c r="AS61" s="1082">
        <v>14</v>
      </c>
    </row>
    <row r="62" spans="1:45" ht="14.65" customHeight="1">
      <c r="O62" s="474"/>
      <c r="AS62" s="1082">
        <v>14</v>
      </c>
    </row>
    <row r="63" spans="1:45" ht="14.65" customHeight="1">
      <c r="O63" s="474"/>
      <c r="S63" s="1180"/>
      <c r="T63" s="2372"/>
      <c r="U63" s="2467"/>
      <c r="V63" s="2467"/>
      <c r="W63" s="2467"/>
      <c r="X63" s="2467"/>
      <c r="Y63" s="2467"/>
      <c r="Z63" s="2467"/>
      <c r="AA63" s="2467"/>
      <c r="AB63" s="2467"/>
      <c r="AC63" s="2467"/>
      <c r="AD63" s="2467"/>
      <c r="AE63" s="2467"/>
      <c r="AF63" s="2467"/>
      <c r="AG63" s="2467"/>
      <c r="AH63" s="2467"/>
      <c r="AI63" s="2467"/>
      <c r="AJ63" s="2467"/>
      <c r="AK63" s="2467"/>
      <c r="AL63" s="2467"/>
      <c r="AM63" s="2467"/>
      <c r="AS63" s="1082">
        <v>14</v>
      </c>
    </row>
    <row r="64" spans="1:45" ht="14.65" customHeight="1">
      <c r="O64" s="474"/>
      <c r="T64" s="2467"/>
      <c r="U64" s="2467"/>
      <c r="V64" s="2467"/>
      <c r="W64" s="2467"/>
      <c r="X64" s="2467"/>
      <c r="Y64" s="2467"/>
      <c r="Z64" s="2467"/>
      <c r="AA64" s="2467"/>
      <c r="AB64" s="2467"/>
      <c r="AC64" s="2467"/>
      <c r="AD64" s="2467"/>
      <c r="AE64" s="2467"/>
      <c r="AF64" s="2467"/>
      <c r="AG64" s="2467"/>
      <c r="AH64" s="2467"/>
      <c r="AI64" s="2467"/>
      <c r="AJ64" s="2467"/>
      <c r="AK64" s="2467"/>
      <c r="AL64" s="2467"/>
      <c r="AM64" s="2467"/>
      <c r="AS64" s="1082">
        <v>14</v>
      </c>
    </row>
    <row r="65" spans="1:45" ht="14.65" customHeight="1">
      <c r="T65" s="2467"/>
      <c r="U65" s="2467"/>
      <c r="V65" s="2467"/>
      <c r="W65" s="2467"/>
      <c r="X65" s="2467"/>
      <c r="Y65" s="2467"/>
      <c r="Z65" s="2467"/>
      <c r="AA65" s="2467"/>
      <c r="AB65" s="2467"/>
      <c r="AC65" s="2467"/>
      <c r="AD65" s="2467"/>
      <c r="AE65" s="2467"/>
      <c r="AF65" s="2467"/>
      <c r="AG65" s="2467"/>
      <c r="AH65" s="2467"/>
      <c r="AI65" s="2467"/>
      <c r="AJ65" s="2467"/>
      <c r="AK65" s="2467"/>
      <c r="AL65" s="2467"/>
      <c r="AM65" s="2467"/>
      <c r="AS65" s="1082">
        <v>14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DE20E-8084-557B-02B3-67EA6341CCEE}">
  <sheetPr>
    <tabColor theme="6" tint="0.39997558519241921"/>
  </sheetPr>
  <dimension ref="A1:BF78"/>
  <sheetViews>
    <sheetView showGridLines="0" zoomScale="90" workbookViewId="0">
      <pane xSplit="32" ySplit="48" topLeftCell="AO55" activePane="bottomRight" state="frozen"/>
      <selection pane="topRight" activeCell="AG1" sqref="AG1"/>
      <selection pane="bottomLeft" activeCell="A49" sqref="A49"/>
      <selection pane="bottomRight" activeCell="AW65" sqref="AW65"/>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8" hidden="1" customWidth="1"/>
    <col min="16" max="16" width="23.42578125" style="2008" hidden="1" customWidth="1"/>
    <col min="17" max="17" width="3.7109375" style="2008" hidden="1" customWidth="1"/>
    <col min="18" max="20" width="3" style="282" customWidth="1"/>
    <col min="21" max="21" width="12" style="2009"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customWidth="1"/>
    <col min="50" max="50" width="10.5703125" style="4" hidden="1"/>
    <col min="51" max="51" width="4" style="1562" customWidth="1"/>
    <col min="52" max="52" width="115" style="1562" customWidth="1"/>
    <col min="53" max="57" width="10" style="1569" customWidth="1"/>
    <col min="58" max="58" width="10.5703125" style="1562" hidden="1"/>
  </cols>
  <sheetData>
    <row r="1" spans="1:58" ht="22.5" hidden="1" customHeight="1">
      <c r="AB1" s="265"/>
      <c r="AC1" s="265"/>
      <c r="AK1" s="265"/>
      <c r="AL1" s="265"/>
      <c r="AP1" s="1562"/>
      <c r="AQ1" s="1562"/>
      <c r="AR1" s="1562"/>
      <c r="AS1" s="1562"/>
      <c r="AT1" s="1562"/>
      <c r="AU1" s="1562"/>
      <c r="AV1" s="1562"/>
      <c r="AW1" s="1562"/>
      <c r="AX1" s="2273"/>
      <c r="BF1" s="1082" t="s">
        <v>14</v>
      </c>
    </row>
    <row r="2" spans="1:58" ht="21" hidden="1" customHeight="1">
      <c r="A2" s="1194"/>
      <c r="B2" s="1194"/>
      <c r="C2" s="1194"/>
      <c r="D2" s="1194"/>
      <c r="E2" s="2504">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124</v>
      </c>
      <c r="W2" s="238"/>
      <c r="X2" s="2462"/>
      <c r="Y2" s="2463"/>
      <c r="Z2" s="2463"/>
      <c r="AA2" s="2463"/>
      <c r="AB2" s="2463"/>
      <c r="AC2" s="2463"/>
      <c r="AD2" s="2463"/>
      <c r="AE2" s="2463"/>
      <c r="AF2" s="2464"/>
      <c r="AG2" s="2462" t="e">
        <f>INDEX(PT_DIFFERENTIATION_NTAR,MATCH(A2,PT_DIFFERENTIATION_NTAR_ID,0))</f>
        <v>#N/A</v>
      </c>
      <c r="AH2" s="2463"/>
      <c r="AI2" s="2463"/>
      <c r="AJ2" s="2463"/>
      <c r="AK2" s="2463"/>
      <c r="AL2" s="2463"/>
      <c r="AM2" s="2463"/>
      <c r="AN2" s="2463"/>
      <c r="AO2" s="2463"/>
      <c r="AP2" s="2462"/>
      <c r="AQ2" s="2463"/>
      <c r="AR2" s="2463"/>
      <c r="AS2" s="2463"/>
      <c r="AT2" s="2463"/>
      <c r="AU2" s="2463"/>
      <c r="AV2" s="2463"/>
      <c r="AW2" s="2463"/>
      <c r="AX2" s="2496"/>
      <c r="AY2" s="2464"/>
      <c r="AZ2" s="1185" t="s">
        <v>403</v>
      </c>
      <c r="BB2" s="437"/>
      <c r="BC2" s="437" t="str">
        <f t="shared" ref="BC2:BC8" si="0">IF(V2="","",V2)</f>
        <v>Наименование тарифа</v>
      </c>
      <c r="BD2" s="437"/>
      <c r="BE2" s="437"/>
      <c r="BF2" s="1082">
        <v>0</v>
      </c>
    </row>
    <row r="3" spans="1:58" ht="21" hidden="1" customHeight="1">
      <c r="A3" s="1194"/>
      <c r="B3" s="1194"/>
      <c r="C3" s="1194"/>
      <c r="D3" s="1194"/>
      <c r="E3" s="2505"/>
      <c r="F3" s="2504">
        <v>1</v>
      </c>
      <c r="G3" s="1194"/>
      <c r="H3" s="1194"/>
      <c r="I3" s="1194"/>
      <c r="J3" s="1194"/>
      <c r="K3" s="1194"/>
      <c r="L3" s="1194"/>
      <c r="M3" s="1237"/>
      <c r="N3" s="625"/>
      <c r="O3" s="625"/>
      <c r="P3" s="625"/>
      <c r="Q3" s="1259"/>
      <c r="R3" s="289"/>
      <c r="S3" s="446"/>
      <c r="T3" s="290"/>
      <c r="U3" s="1263" t="e">
        <f>INDEX(PT_DIFFERENTIATION_NUM_TER,MATCH(B3,PT_DIFFERENTIATION_TER_ID,0))</f>
        <v>#N/A</v>
      </c>
      <c r="V3" s="246" t="s">
        <v>404</v>
      </c>
      <c r="W3" s="238"/>
      <c r="X3" s="2462"/>
      <c r="Y3" s="2463"/>
      <c r="Z3" s="2463"/>
      <c r="AA3" s="2463"/>
      <c r="AB3" s="2463"/>
      <c r="AC3" s="2463"/>
      <c r="AD3" s="2463"/>
      <c r="AE3" s="2463"/>
      <c r="AF3" s="2464"/>
      <c r="AG3" s="2462" t="e">
        <f>INDEX(PT_DIFFERENTIATION_TER,MATCH(B3,PT_DIFFERENTIATION_TER_ID,0))</f>
        <v>#N/A</v>
      </c>
      <c r="AH3" s="2463"/>
      <c r="AI3" s="2463"/>
      <c r="AJ3" s="2463"/>
      <c r="AK3" s="2463"/>
      <c r="AL3" s="2463"/>
      <c r="AM3" s="2463"/>
      <c r="AN3" s="2463"/>
      <c r="AO3" s="2463"/>
      <c r="AP3" s="2462"/>
      <c r="AQ3" s="2463"/>
      <c r="AR3" s="2463"/>
      <c r="AS3" s="2463"/>
      <c r="AT3" s="2463"/>
      <c r="AU3" s="2463"/>
      <c r="AV3" s="2463"/>
      <c r="AW3" s="2463"/>
      <c r="AX3" s="2496"/>
      <c r="AY3" s="2464"/>
      <c r="AZ3" s="1185" t="s">
        <v>405</v>
      </c>
      <c r="BB3" s="437"/>
      <c r="BC3" s="437" t="str">
        <f t="shared" si="0"/>
        <v>Территория действия тарифа</v>
      </c>
      <c r="BD3" s="437"/>
      <c r="BE3" s="437"/>
      <c r="BF3" s="1082">
        <v>0</v>
      </c>
    </row>
    <row r="4" spans="1:58" ht="22.5" hidden="1" customHeight="1">
      <c r="A4" s="1194"/>
      <c r="B4" s="1194"/>
      <c r="C4" s="1194"/>
      <c r="D4" s="1194"/>
      <c r="E4" s="2505"/>
      <c r="F4" s="2505"/>
      <c r="G4" s="2504">
        <v>1</v>
      </c>
      <c r="H4" s="1194"/>
      <c r="I4" s="1194"/>
      <c r="J4" s="1194"/>
      <c r="K4" s="1194"/>
      <c r="L4" s="1194"/>
      <c r="M4" s="1237"/>
      <c r="N4" s="625"/>
      <c r="O4" s="625"/>
      <c r="P4" s="625"/>
      <c r="Q4" s="291"/>
      <c r="R4" s="289"/>
      <c r="S4" s="446"/>
      <c r="T4" s="290"/>
      <c r="U4" s="1263" t="e">
        <f>INDEX(PT_DIFFERENTIATION_NUM_CS,MATCH(C4,PT_DIFFERENTIATION_CS_ID,0))</f>
        <v>#N/A</v>
      </c>
      <c r="V4" s="247" t="s">
        <v>406</v>
      </c>
      <c r="W4" s="238"/>
      <c r="X4" s="2462"/>
      <c r="Y4" s="2463"/>
      <c r="Z4" s="2463"/>
      <c r="AA4" s="2463"/>
      <c r="AB4" s="2463"/>
      <c r="AC4" s="2463"/>
      <c r="AD4" s="2463"/>
      <c r="AE4" s="2463"/>
      <c r="AF4" s="2464"/>
      <c r="AG4" s="2462" t="e">
        <f>INDEX(PT_DIFFERENTIATION_CS,MATCH(C4,PT_DIFFERENTIATION_CS_ID,0))</f>
        <v>#N/A</v>
      </c>
      <c r="AH4" s="2463"/>
      <c r="AI4" s="2463"/>
      <c r="AJ4" s="2463"/>
      <c r="AK4" s="2463"/>
      <c r="AL4" s="2463"/>
      <c r="AM4" s="2463"/>
      <c r="AN4" s="2463"/>
      <c r="AO4" s="2463"/>
      <c r="AP4" s="2462"/>
      <c r="AQ4" s="2463"/>
      <c r="AR4" s="2463"/>
      <c r="AS4" s="2463"/>
      <c r="AT4" s="2463"/>
      <c r="AU4" s="2463"/>
      <c r="AV4" s="2463"/>
      <c r="AW4" s="2463"/>
      <c r="AX4" s="2496"/>
      <c r="AY4" s="2464"/>
      <c r="AZ4" s="1185" t="s">
        <v>407</v>
      </c>
      <c r="BB4" s="437"/>
      <c r="BC4" s="437" t="str">
        <f t="shared" si="0"/>
        <v xml:space="preserve">Наименование системы теплоснабжения </v>
      </c>
      <c r="BD4" s="437"/>
      <c r="BE4" s="437"/>
      <c r="BF4" s="1082">
        <v>0</v>
      </c>
    </row>
    <row r="5" spans="1:58" ht="21" hidden="1" customHeight="1">
      <c r="A5" s="1194"/>
      <c r="B5" s="1194"/>
      <c r="C5" s="1194"/>
      <c r="D5" s="1194"/>
      <c r="E5" s="2505"/>
      <c r="F5" s="2505"/>
      <c r="G5" s="2505"/>
      <c r="H5" s="2504">
        <v>1</v>
      </c>
      <c r="I5" s="1194"/>
      <c r="J5" s="1194"/>
      <c r="K5" s="1194"/>
      <c r="L5" s="1194"/>
      <c r="M5" s="1237"/>
      <c r="N5" s="625"/>
      <c r="O5" s="625"/>
      <c r="P5" s="625"/>
      <c r="Q5" s="291"/>
      <c r="R5" s="289"/>
      <c r="S5" s="446"/>
      <c r="T5" s="290"/>
      <c r="U5" s="1263" t="e">
        <f>INDEX(PT_DIFFERENTIATION_NUM_IST_TE,MATCH(D5,PT_DIFFERENTIATION_IST_TE_ID,0))</f>
        <v>#N/A</v>
      </c>
      <c r="V5" s="248" t="s">
        <v>408</v>
      </c>
      <c r="W5" s="238"/>
      <c r="X5" s="2462"/>
      <c r="Y5" s="2463"/>
      <c r="Z5" s="2463"/>
      <c r="AA5" s="2463"/>
      <c r="AB5" s="2463"/>
      <c r="AC5" s="2463"/>
      <c r="AD5" s="2463"/>
      <c r="AE5" s="2463"/>
      <c r="AF5" s="2464"/>
      <c r="AG5" s="2462" t="e">
        <f>INDEX(PT_DIFFERENTIATION_IST_TE,MATCH(D5,PT_DIFFERENTIATION_IST_TE_ID,0))</f>
        <v>#N/A</v>
      </c>
      <c r="AH5" s="2463"/>
      <c r="AI5" s="2463"/>
      <c r="AJ5" s="2463"/>
      <c r="AK5" s="2463"/>
      <c r="AL5" s="2463"/>
      <c r="AM5" s="2463"/>
      <c r="AN5" s="2463"/>
      <c r="AO5" s="2463"/>
      <c r="AP5" s="2462"/>
      <c r="AQ5" s="2463"/>
      <c r="AR5" s="2463"/>
      <c r="AS5" s="2463"/>
      <c r="AT5" s="2463"/>
      <c r="AU5" s="2463"/>
      <c r="AV5" s="2463"/>
      <c r="AW5" s="2463"/>
      <c r="AX5" s="2496"/>
      <c r="AY5" s="2464"/>
      <c r="AZ5" s="1185" t="s">
        <v>409</v>
      </c>
      <c r="BB5" s="437"/>
      <c r="BC5" s="437" t="str">
        <f t="shared" si="0"/>
        <v xml:space="preserve">Источник тепловой энергии  </v>
      </c>
      <c r="BD5" s="437"/>
      <c r="BE5" s="437"/>
      <c r="BF5" s="1082">
        <v>0</v>
      </c>
    </row>
    <row r="6" spans="1:58" ht="14.25" hidden="1" customHeight="1">
      <c r="A6" s="1194"/>
      <c r="B6" s="1194"/>
      <c r="C6" s="1194"/>
      <c r="D6" s="1194"/>
      <c r="E6" s="2505"/>
      <c r="F6" s="2505"/>
      <c r="G6" s="2505"/>
      <c r="H6" s="2505"/>
      <c r="I6" s="2332" t="e">
        <f>U5&amp;".1"</f>
        <v>#N/A</v>
      </c>
      <c r="J6" s="1194"/>
      <c r="K6" s="1194"/>
      <c r="L6" s="1194"/>
      <c r="M6" s="1237" t="s">
        <v>410</v>
      </c>
      <c r="N6" s="446"/>
      <c r="Q6" s="2472">
        <v>1</v>
      </c>
      <c r="R6" s="1258"/>
      <c r="S6" s="1258"/>
      <c r="T6" s="293"/>
      <c r="U6" s="972"/>
      <c r="V6" s="1310"/>
      <c r="W6" s="1311"/>
      <c r="X6" s="2509"/>
      <c r="Y6" s="2510"/>
      <c r="Z6" s="2510"/>
      <c r="AA6" s="2510"/>
      <c r="AB6" s="2510"/>
      <c r="AC6" s="2510"/>
      <c r="AD6" s="2510"/>
      <c r="AE6" s="2510"/>
      <c r="AF6" s="2511"/>
      <c r="AG6" s="2509"/>
      <c r="AH6" s="2510"/>
      <c r="AI6" s="2510"/>
      <c r="AJ6" s="2510"/>
      <c r="AK6" s="2510"/>
      <c r="AL6" s="2510"/>
      <c r="AM6" s="2510"/>
      <c r="AN6" s="2510"/>
      <c r="AO6" s="2510"/>
      <c r="AP6" s="2509"/>
      <c r="AQ6" s="2510"/>
      <c r="AR6" s="2510"/>
      <c r="AS6" s="2510"/>
      <c r="AT6" s="2510"/>
      <c r="AU6" s="2510"/>
      <c r="AV6" s="2510"/>
      <c r="AW6" s="2510"/>
      <c r="AX6" s="2522"/>
      <c r="AY6" s="2511"/>
      <c r="AZ6" s="1312"/>
      <c r="BB6" s="437"/>
      <c r="BC6" s="437" t="str">
        <f t="shared" si="0"/>
        <v/>
      </c>
      <c r="BD6" s="437"/>
      <c r="BE6" s="437"/>
      <c r="BF6" s="1082">
        <v>0</v>
      </c>
    </row>
    <row r="7" spans="1:58" ht="21" hidden="1" customHeight="1">
      <c r="A7" s="1194"/>
      <c r="B7" s="1194"/>
      <c r="C7" s="1194"/>
      <c r="D7" s="1194"/>
      <c r="E7" s="2505"/>
      <c r="F7" s="2505"/>
      <c r="G7" s="2505"/>
      <c r="H7" s="2505"/>
      <c r="I7" s="2314"/>
      <c r="J7" s="2332" t="e">
        <f>I6&amp;".1"</f>
        <v>#N/A</v>
      </c>
      <c r="K7" s="1194"/>
      <c r="L7" s="1194"/>
      <c r="M7" s="1237" t="s">
        <v>413</v>
      </c>
      <c r="N7" s="446"/>
      <c r="O7" s="265"/>
      <c r="Q7" s="2472"/>
      <c r="R7" s="2472">
        <v>1</v>
      </c>
      <c r="S7" s="455"/>
      <c r="T7" s="294"/>
      <c r="U7" s="1263" t="e">
        <f>$J7</f>
        <v>#N/A</v>
      </c>
      <c r="V7" s="224" t="s">
        <v>414</v>
      </c>
      <c r="W7" s="238"/>
      <c r="X7" s="2456"/>
      <c r="Y7" s="2457"/>
      <c r="Z7" s="2457"/>
      <c r="AA7" s="2457"/>
      <c r="AB7" s="2457"/>
      <c r="AC7" s="2452"/>
      <c r="AD7" s="2452"/>
      <c r="AE7" s="2452"/>
      <c r="AF7" s="2523"/>
      <c r="AG7" s="2456"/>
      <c r="AH7" s="2457"/>
      <c r="AI7" s="2457"/>
      <c r="AJ7" s="2457"/>
      <c r="AK7" s="2457"/>
      <c r="AL7" s="2457"/>
      <c r="AM7" s="2457"/>
      <c r="AN7" s="2457"/>
      <c r="AO7" s="2457"/>
      <c r="AP7" s="2456"/>
      <c r="AQ7" s="2457"/>
      <c r="AR7" s="2457"/>
      <c r="AS7" s="2457"/>
      <c r="AT7" s="2457"/>
      <c r="AU7" s="2452"/>
      <c r="AV7" s="2452"/>
      <c r="AW7" s="2452"/>
      <c r="AX7" s="2524"/>
      <c r="AY7" s="2458"/>
      <c r="AZ7" s="1185" t="s">
        <v>415</v>
      </c>
      <c r="BB7" s="437"/>
      <c r="BC7" s="437" t="str">
        <f t="shared" si="0"/>
        <v>Группа потребителей</v>
      </c>
      <c r="BD7" s="437"/>
      <c r="BE7" s="437"/>
      <c r="BF7" s="1082">
        <v>0</v>
      </c>
    </row>
    <row r="8" spans="1:58" ht="21" hidden="1" customHeight="1">
      <c r="A8" s="1194"/>
      <c r="B8" s="1194"/>
      <c r="C8" s="1194"/>
      <c r="D8" s="1194"/>
      <c r="E8" s="2505"/>
      <c r="F8" s="2505"/>
      <c r="G8" s="2505"/>
      <c r="H8" s="2505"/>
      <c r="I8" s="2314"/>
      <c r="J8" s="2314"/>
      <c r="K8" s="2332" t="e">
        <f>J7&amp;".1"</f>
        <v>#N/A</v>
      </c>
      <c r="L8" s="78"/>
      <c r="M8" s="1237" t="s">
        <v>416</v>
      </c>
      <c r="N8" s="446"/>
      <c r="O8" s="265"/>
      <c r="P8" s="265"/>
      <c r="Q8" s="2472"/>
      <c r="R8" s="2472"/>
      <c r="S8" s="2472">
        <v>1</v>
      </c>
      <c r="T8" s="294"/>
      <c r="U8" s="1263" t="e">
        <f>$K8</f>
        <v>#N/A</v>
      </c>
      <c r="V8" s="1274"/>
      <c r="W8" s="238"/>
      <c r="X8" s="688"/>
      <c r="Y8" s="688"/>
      <c r="Z8" s="688"/>
      <c r="AA8" s="688"/>
      <c r="AB8" s="1332"/>
      <c r="AC8" s="2473"/>
      <c r="AD8" s="2342" t="s">
        <v>67</v>
      </c>
      <c r="AE8" s="2473"/>
      <c r="AF8" s="2342" t="s">
        <v>67</v>
      </c>
      <c r="AG8" s="1334"/>
      <c r="AH8" s="688"/>
      <c r="AI8" s="688"/>
      <c r="AJ8" s="688"/>
      <c r="AK8" s="1184"/>
      <c r="AL8" s="2473"/>
      <c r="AM8" s="2342" t="s">
        <v>67</v>
      </c>
      <c r="AN8" s="2473"/>
      <c r="AO8" s="2342" t="s">
        <v>67</v>
      </c>
      <c r="AP8" s="688"/>
      <c r="AQ8" s="688"/>
      <c r="AR8" s="688"/>
      <c r="AS8" s="688"/>
      <c r="AT8" s="1332"/>
      <c r="AU8" s="2473"/>
      <c r="AV8" s="2342" t="s">
        <v>67</v>
      </c>
      <c r="AW8" s="2473"/>
      <c r="AX8" s="2342" t="s">
        <v>67</v>
      </c>
      <c r="AY8" s="263"/>
      <c r="AZ8" s="1234" t="s">
        <v>460</v>
      </c>
      <c r="BA8" s="448" t="e">
        <f ca="1">STRCHECKDATE(X10:AY10)</f>
        <v>#NAME?</v>
      </c>
      <c r="BB8" s="437"/>
      <c r="BC8" s="437" t="str">
        <f t="shared" si="0"/>
        <v/>
      </c>
      <c r="BD8" s="437"/>
      <c r="BE8" s="437"/>
      <c r="BF8" s="1082">
        <v>0</v>
      </c>
    </row>
    <row r="9" spans="1:58" ht="21" hidden="1" customHeight="1">
      <c r="A9" s="1194"/>
      <c r="B9" s="1194"/>
      <c r="C9" s="1194"/>
      <c r="D9" s="1194"/>
      <c r="E9" s="2505"/>
      <c r="F9" s="2505"/>
      <c r="G9" s="2505"/>
      <c r="H9" s="2505"/>
      <c r="I9" s="2314"/>
      <c r="J9" s="2314"/>
      <c r="K9" s="2314"/>
      <c r="L9" s="2332" t="e">
        <f>K8&amp;".1"</f>
        <v>#N/A</v>
      </c>
      <c r="M9" s="1237"/>
      <c r="N9" s="446"/>
      <c r="O9" s="265"/>
      <c r="P9" s="265"/>
      <c r="Q9" s="2472"/>
      <c r="R9" s="2472"/>
      <c r="S9" s="2472"/>
      <c r="T9" s="294"/>
      <c r="U9" s="1263" t="e">
        <f>$L9</f>
        <v>#N/A</v>
      </c>
      <c r="V9" s="1318"/>
      <c r="W9" s="238"/>
      <c r="X9" s="263"/>
      <c r="Y9" s="688"/>
      <c r="Z9" s="688"/>
      <c r="AA9" s="688"/>
      <c r="AB9" s="1332"/>
      <c r="AC9" s="2474"/>
      <c r="AD9" s="2342"/>
      <c r="AE9" s="2474"/>
      <c r="AF9" s="2342"/>
      <c r="AG9" s="1334"/>
      <c r="AH9" s="688"/>
      <c r="AI9" s="688"/>
      <c r="AJ9" s="688"/>
      <c r="AK9" s="1184"/>
      <c r="AL9" s="2474"/>
      <c r="AM9" s="2342"/>
      <c r="AN9" s="2474"/>
      <c r="AO9" s="2342"/>
      <c r="AP9" s="263"/>
      <c r="AQ9" s="688"/>
      <c r="AR9" s="688"/>
      <c r="AS9" s="688"/>
      <c r="AT9" s="1332"/>
      <c r="AU9" s="2474"/>
      <c r="AV9" s="2342"/>
      <c r="AW9" s="2474"/>
      <c r="AX9" s="2342"/>
      <c r="AY9" s="263"/>
      <c r="AZ9" s="2491" t="s">
        <v>461</v>
      </c>
      <c r="BB9" s="437"/>
      <c r="BC9" s="437"/>
      <c r="BD9" s="437"/>
      <c r="BE9" s="437"/>
      <c r="BF9" s="1082">
        <v>0</v>
      </c>
    </row>
    <row r="10" spans="1:58" ht="14.25" hidden="1" customHeight="1">
      <c r="A10" s="1194"/>
      <c r="B10" s="1194"/>
      <c r="C10" s="1194"/>
      <c r="D10" s="1194"/>
      <c r="E10" s="2505"/>
      <c r="F10" s="2505"/>
      <c r="G10" s="2505"/>
      <c r="H10" s="2505"/>
      <c r="I10" s="2314"/>
      <c r="J10" s="2314"/>
      <c r="K10" s="2314"/>
      <c r="L10" s="2332"/>
      <c r="M10" s="1237"/>
      <c r="N10" s="446"/>
      <c r="O10" s="265"/>
      <c r="P10" s="265"/>
      <c r="Q10" s="2472"/>
      <c r="R10" s="2472"/>
      <c r="S10" s="2472"/>
      <c r="T10" s="294"/>
      <c r="U10" s="1269"/>
      <c r="V10" s="238"/>
      <c r="W10" s="238"/>
      <c r="X10" s="263"/>
      <c r="Y10" s="263"/>
      <c r="Z10" s="263"/>
      <c r="AA10" s="263"/>
      <c r="AB10" s="1333" t="str">
        <f>AC8&amp;"-"&amp;AE8</f>
        <v>-</v>
      </c>
      <c r="AC10" s="2474"/>
      <c r="AD10" s="2342"/>
      <c r="AE10" s="2474"/>
      <c r="AF10" s="2342"/>
      <c r="AG10" s="1309"/>
      <c r="AH10" s="263"/>
      <c r="AI10" s="263"/>
      <c r="AJ10" s="263"/>
      <c r="AK10" s="266" t="str">
        <f>AL8&amp;"-"&amp;AN8</f>
        <v>-</v>
      </c>
      <c r="AL10" s="2474"/>
      <c r="AM10" s="2342"/>
      <c r="AN10" s="2474"/>
      <c r="AO10" s="2342"/>
      <c r="AP10" s="263"/>
      <c r="AQ10" s="263"/>
      <c r="AR10" s="263"/>
      <c r="AS10" s="263"/>
      <c r="AT10" s="1333" t="str">
        <f>AU8&amp;"-"&amp;AW8</f>
        <v>-</v>
      </c>
      <c r="AU10" s="2474"/>
      <c r="AV10" s="2342"/>
      <c r="AW10" s="2474"/>
      <c r="AX10" s="2342"/>
      <c r="AY10" s="263"/>
      <c r="AZ10" s="2492"/>
      <c r="BB10" s="437"/>
      <c r="BC10" s="437" t="str">
        <f>IF(V10="","",V10)</f>
        <v/>
      </c>
      <c r="BD10" s="437"/>
      <c r="BE10" s="437"/>
      <c r="BF10" s="1082">
        <v>0</v>
      </c>
    </row>
    <row r="11" spans="1:58" ht="11.25" hidden="1" customHeight="1">
      <c r="A11" s="1194"/>
      <c r="B11" s="1194"/>
      <c r="C11" s="1194"/>
      <c r="D11" s="1194"/>
      <c r="E11" s="2505"/>
      <c r="F11" s="2505"/>
      <c r="G11" s="2505"/>
      <c r="H11" s="2505"/>
      <c r="I11" s="2314"/>
      <c r="J11" s="2314"/>
      <c r="K11" s="2332"/>
      <c r="L11" s="1194"/>
      <c r="M11" s="1237"/>
      <c r="N11" s="446"/>
      <c r="O11" s="265"/>
      <c r="P11" s="265"/>
      <c r="Q11" s="2472"/>
      <c r="R11" s="2472"/>
      <c r="S11" s="2472"/>
      <c r="T11" s="294"/>
      <c r="U11" s="1205"/>
      <c r="V11" s="226" t="s">
        <v>462</v>
      </c>
      <c r="W11" s="1319"/>
      <c r="X11" s="1320"/>
      <c r="Y11" s="1320"/>
      <c r="Z11" s="1320"/>
      <c r="AA11" s="1320"/>
      <c r="AB11" s="1321"/>
      <c r="AC11" s="2474"/>
      <c r="AD11" s="2342"/>
      <c r="AE11" s="2474"/>
      <c r="AF11" s="2342"/>
      <c r="AG11" s="1320"/>
      <c r="AH11" s="1320"/>
      <c r="AI11" s="1320"/>
      <c r="AJ11" s="1320"/>
      <c r="AK11" s="1321"/>
      <c r="AL11" s="2474"/>
      <c r="AM11" s="2342"/>
      <c r="AN11" s="2474"/>
      <c r="AO11" s="2342"/>
      <c r="AP11" s="2180"/>
      <c r="AQ11" s="2181"/>
      <c r="AR11" s="2182"/>
      <c r="AS11" s="2183"/>
      <c r="AT11" s="2184"/>
      <c r="AU11" s="2474"/>
      <c r="AV11" s="2342"/>
      <c r="AW11" s="2474"/>
      <c r="AX11" s="2342"/>
      <c r="AY11" s="1322"/>
      <c r="AZ11" s="2492"/>
      <c r="BB11" s="437"/>
      <c r="BC11" s="437"/>
      <c r="BD11" s="437"/>
      <c r="BE11" s="437"/>
      <c r="BF11" s="1082">
        <v>0</v>
      </c>
    </row>
    <row r="12" spans="1:58" ht="15" hidden="1" customHeight="1">
      <c r="A12" s="1194"/>
      <c r="B12" s="1194"/>
      <c r="C12" s="1194"/>
      <c r="D12" s="1194"/>
      <c r="E12" s="2505"/>
      <c r="F12" s="2505"/>
      <c r="G12" s="2505"/>
      <c r="H12" s="2505"/>
      <c r="I12" s="2314"/>
      <c r="J12" s="2332"/>
      <c r="K12" s="1194"/>
      <c r="L12" s="1194"/>
      <c r="M12" s="1237"/>
      <c r="N12" s="446"/>
      <c r="O12" s="265"/>
      <c r="Q12" s="2472"/>
      <c r="R12" s="2472"/>
      <c r="S12" s="1258"/>
      <c r="T12" s="293"/>
      <c r="U12" s="1205"/>
      <c r="V12" s="225" t="s">
        <v>418</v>
      </c>
      <c r="W12" s="304"/>
      <c r="X12" s="304"/>
      <c r="Y12" s="304"/>
      <c r="Z12" s="304"/>
      <c r="AA12" s="304"/>
      <c r="AB12" s="304"/>
      <c r="AC12" s="1335"/>
      <c r="AD12" s="1335"/>
      <c r="AE12" s="1335"/>
      <c r="AF12" s="1335"/>
      <c r="AG12" s="304"/>
      <c r="AH12" s="304"/>
      <c r="AI12" s="304"/>
      <c r="AJ12" s="304"/>
      <c r="AK12" s="304"/>
      <c r="AL12" s="304"/>
      <c r="AM12" s="304"/>
      <c r="AN12" s="304"/>
      <c r="AO12" s="304"/>
      <c r="AP12" s="2185"/>
      <c r="AQ12" s="2186"/>
      <c r="AR12" s="2187"/>
      <c r="AS12" s="2188"/>
      <c r="AT12" s="2189"/>
      <c r="AU12" s="2190"/>
      <c r="AV12" s="2191"/>
      <c r="AW12" s="2192"/>
      <c r="AX12" s="2290"/>
      <c r="AY12" s="262"/>
      <c r="AZ12" s="2493"/>
      <c r="BB12" s="437"/>
      <c r="BC12" s="437" t="str">
        <f t="shared" ref="BC12:BC17" si="1">IF(V12="","",V12)</f>
        <v>Добавить вид теплоносителя (параметры теплоносителя)</v>
      </c>
      <c r="BD12" s="437"/>
      <c r="BE12" s="437"/>
      <c r="BF12" s="1082">
        <v>0</v>
      </c>
    </row>
    <row r="13" spans="1:58" ht="11.25" hidden="1" customHeight="1">
      <c r="A13" s="1194"/>
      <c r="B13" s="1194"/>
      <c r="C13" s="1194"/>
      <c r="D13" s="1194"/>
      <c r="E13" s="2505"/>
      <c r="F13" s="2505"/>
      <c r="G13" s="2505"/>
      <c r="H13" s="2505"/>
      <c r="I13" s="2332"/>
      <c r="J13" s="1194"/>
      <c r="K13" s="1194"/>
      <c r="L13" s="1194"/>
      <c r="M13" s="1237"/>
      <c r="N13" s="446"/>
      <c r="Q13" s="2472"/>
      <c r="R13" s="1258"/>
      <c r="S13" s="1258"/>
      <c r="T13" s="293"/>
      <c r="U13" s="1205"/>
      <c r="V13" s="302" t="s">
        <v>419</v>
      </c>
      <c r="W13" s="304"/>
      <c r="X13" s="304"/>
      <c r="Y13" s="304"/>
      <c r="Z13" s="304"/>
      <c r="AA13" s="304"/>
      <c r="AB13" s="304"/>
      <c r="AC13" s="304"/>
      <c r="AD13" s="304"/>
      <c r="AE13" s="304"/>
      <c r="AF13" s="303"/>
      <c r="AG13" s="304"/>
      <c r="AH13" s="304"/>
      <c r="AI13" s="304"/>
      <c r="AJ13" s="304"/>
      <c r="AK13" s="304"/>
      <c r="AL13" s="304"/>
      <c r="AM13" s="304"/>
      <c r="AN13" s="304"/>
      <c r="AO13" s="303"/>
      <c r="AP13" s="2193"/>
      <c r="AQ13" s="2194"/>
      <c r="AR13" s="2195"/>
      <c r="AS13" s="2196"/>
      <c r="AT13" s="2197"/>
      <c r="AU13" s="2198"/>
      <c r="AV13" s="2199"/>
      <c r="AW13" s="2200"/>
      <c r="AX13" s="2291"/>
      <c r="AY13" s="304"/>
      <c r="AZ13" s="241"/>
      <c r="BB13" s="437"/>
      <c r="BC13" s="437" t="str">
        <f t="shared" si="1"/>
        <v>Добавить группу потребителей</v>
      </c>
      <c r="BD13" s="437"/>
      <c r="BE13" s="437"/>
      <c r="BF13" s="1082">
        <v>0</v>
      </c>
    </row>
    <row r="14" spans="1:58" ht="14.25" hidden="1" customHeight="1">
      <c r="A14" s="1194"/>
      <c r="B14" s="1194"/>
      <c r="C14" s="1194"/>
      <c r="D14" s="1194"/>
      <c r="E14" s="2505"/>
      <c r="F14" s="2505"/>
      <c r="G14" s="2505"/>
      <c r="H14" s="2504"/>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2292"/>
      <c r="AY14" s="1315"/>
      <c r="AZ14" s="1316"/>
      <c r="BB14" s="437"/>
      <c r="BC14" s="437" t="str">
        <f t="shared" si="1"/>
        <v/>
      </c>
      <c r="BD14" s="437"/>
      <c r="BE14" s="437"/>
      <c r="BF14" s="1082">
        <v>0</v>
      </c>
    </row>
    <row r="15" spans="1:58" s="1569" customFormat="1" ht="14.25" hidden="1" customHeight="1">
      <c r="A15" s="1301"/>
      <c r="B15" s="1301"/>
      <c r="C15" s="1301"/>
      <c r="D15" s="1301"/>
      <c r="E15" s="2505"/>
      <c r="F15" s="2505"/>
      <c r="G15" s="2504"/>
      <c r="H15" s="1301"/>
      <c r="I15" s="1301"/>
      <c r="J15" s="1301"/>
      <c r="K15" s="1301"/>
      <c r="L15" s="1301"/>
      <c r="M15" s="1304"/>
      <c r="N15" s="1305"/>
      <c r="O15" s="1305"/>
      <c r="P15" s="288"/>
      <c r="Q15" s="1243"/>
      <c r="R15" s="1244"/>
      <c r="S15" s="1243"/>
      <c r="T15" s="1243"/>
      <c r="U15" s="1245"/>
      <c r="V15" s="1246" t="s">
        <v>169</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V15" s="1247"/>
      <c r="AW15" s="1247"/>
      <c r="AX15" s="1247"/>
      <c r="AY15" s="1247"/>
      <c r="AZ15" s="1247"/>
      <c r="BB15" s="720"/>
      <c r="BC15" s="720" t="str">
        <f t="shared" si="1"/>
        <v>Добавить источник для дифференциации</v>
      </c>
      <c r="BD15" s="720"/>
      <c r="BE15" s="720"/>
      <c r="BF15" s="455">
        <v>0</v>
      </c>
    </row>
    <row r="16" spans="1:58" s="1569" customFormat="1" ht="14.25" hidden="1" customHeight="1">
      <c r="A16" s="1301"/>
      <c r="B16" s="1301"/>
      <c r="C16" s="1301"/>
      <c r="D16" s="1301"/>
      <c r="E16" s="2505"/>
      <c r="F16" s="2504"/>
      <c r="G16" s="1301"/>
      <c r="H16" s="1301"/>
      <c r="I16" s="1301"/>
      <c r="J16" s="1301"/>
      <c r="K16" s="1301"/>
      <c r="L16" s="1301"/>
      <c r="M16" s="1304"/>
      <c r="N16" s="1306"/>
      <c r="O16" s="1306"/>
      <c r="P16" s="288"/>
      <c r="Q16" s="1243"/>
      <c r="R16" s="1244"/>
      <c r="S16" s="1243"/>
      <c r="T16" s="1243"/>
      <c r="U16" s="1249"/>
      <c r="V16" s="1250" t="s">
        <v>170</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B16" s="720"/>
      <c r="BC16" s="720" t="str">
        <f t="shared" si="1"/>
        <v>Добавить централизованную систему для дифференциации</v>
      </c>
      <c r="BD16" s="720"/>
      <c r="BE16" s="720"/>
      <c r="BF16" s="455">
        <v>0</v>
      </c>
    </row>
    <row r="17" spans="1:58" s="1569" customFormat="1" ht="14.25" hidden="1" customHeight="1">
      <c r="A17" s="1301"/>
      <c r="B17" s="1301"/>
      <c r="C17" s="1301"/>
      <c r="D17" s="1301"/>
      <c r="E17" s="2504"/>
      <c r="F17" s="1301"/>
      <c r="G17" s="1301"/>
      <c r="H17" s="1301"/>
      <c r="I17" s="1301"/>
      <c r="J17" s="1301"/>
      <c r="K17" s="1301"/>
      <c r="L17" s="1301"/>
      <c r="M17" s="1304"/>
      <c r="N17" s="1306"/>
      <c r="O17" s="1306"/>
      <c r="P17" s="288"/>
      <c r="Q17" s="1243"/>
      <c r="R17" s="1244"/>
      <c r="S17" s="1243"/>
      <c r="T17" s="1243"/>
      <c r="U17" s="1249"/>
      <c r="V17" s="1252" t="s">
        <v>171</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B17" s="720"/>
      <c r="BC17" s="720" t="str">
        <f t="shared" si="1"/>
        <v>Добавить территорию для дифференциации</v>
      </c>
      <c r="BD17" s="720"/>
      <c r="BE17" s="720"/>
      <c r="BF17" s="455">
        <v>0</v>
      </c>
    </row>
    <row r="18" spans="1:58" ht="14.25" hidden="1" customHeight="1">
      <c r="AF18" s="265"/>
      <c r="AO18" s="265"/>
      <c r="AP18" s="1562"/>
      <c r="AQ18" s="1562"/>
      <c r="AR18" s="1562"/>
      <c r="AS18" s="1562"/>
      <c r="AT18" s="1562"/>
      <c r="AU18" s="1562"/>
      <c r="AV18" s="1562"/>
      <c r="AW18" s="1562"/>
      <c r="AX18" s="2273"/>
      <c r="BF18" s="1082">
        <v>0</v>
      </c>
    </row>
    <row r="19" spans="1:58" ht="14.25" hidden="1" customHeight="1">
      <c r="AG19" s="1287"/>
      <c r="AH19" s="1287"/>
      <c r="AI19" s="1287"/>
      <c r="AJ19" s="1287"/>
      <c r="AK19" s="1288"/>
      <c r="AL19" s="2466"/>
      <c r="AM19" s="2465" t="s">
        <v>67</v>
      </c>
      <c r="AN19" s="2466"/>
      <c r="AO19" s="2465" t="s">
        <v>67</v>
      </c>
      <c r="AP19" s="1562"/>
      <c r="AQ19" s="1562"/>
      <c r="AR19" s="1562"/>
      <c r="AS19" s="1562"/>
      <c r="AT19" s="1562"/>
      <c r="AU19" s="1562"/>
      <c r="AV19" s="1562"/>
      <c r="AW19" s="1562"/>
      <c r="AX19" s="2273"/>
      <c r="BF19" s="1082">
        <v>0</v>
      </c>
    </row>
    <row r="20" spans="1:58" ht="14.25" hidden="1" customHeight="1">
      <c r="AG20" s="1287"/>
      <c r="AH20" s="1287"/>
      <c r="AI20" s="1287"/>
      <c r="AJ20" s="1287"/>
      <c r="AK20" s="1288"/>
      <c r="AL20" s="2466"/>
      <c r="AM20" s="2465"/>
      <c r="AN20" s="2466"/>
      <c r="AO20" s="2465"/>
      <c r="AP20" s="1562"/>
      <c r="AQ20" s="1562"/>
      <c r="AR20" s="1562"/>
      <c r="AS20" s="1562"/>
      <c r="AT20" s="1562"/>
      <c r="AU20" s="1562"/>
      <c r="AV20" s="1562"/>
      <c r="AW20" s="1562"/>
      <c r="AX20" s="2273"/>
      <c r="BF20" s="1082">
        <v>0</v>
      </c>
    </row>
    <row r="21" spans="1:58" ht="14.25" hidden="1" customHeight="1">
      <c r="AG21" s="1287"/>
      <c r="AH21" s="1287"/>
      <c r="AI21" s="1287"/>
      <c r="AJ21" s="1287"/>
      <c r="AK21" s="1288"/>
      <c r="AL21" s="2466"/>
      <c r="AM21" s="2465"/>
      <c r="AN21" s="2466"/>
      <c r="AO21" s="2465"/>
      <c r="AP21" s="1562"/>
      <c r="AQ21" s="1562"/>
      <c r="AR21" s="1562"/>
      <c r="AS21" s="1562"/>
      <c r="AT21" s="1562"/>
      <c r="AU21" s="1562"/>
      <c r="AV21" s="1562"/>
      <c r="AW21" s="1562"/>
      <c r="AX21" s="2273"/>
      <c r="BF21" s="1082">
        <v>0</v>
      </c>
    </row>
    <row r="22" spans="1:58" ht="14.25" hidden="1" customHeight="1">
      <c r="AG22" s="1287"/>
      <c r="AH22" s="1287"/>
      <c r="AI22" s="1287"/>
      <c r="AJ22" s="1287"/>
      <c r="AK22" s="266" t="str">
        <f>AL19&amp;"-"&amp;AN19</f>
        <v>-</v>
      </c>
      <c r="AL22" s="2465"/>
      <c r="AM22" s="2465"/>
      <c r="AN22" s="2465"/>
      <c r="AO22" s="2465"/>
      <c r="AP22" s="1562"/>
      <c r="AQ22" s="1562"/>
      <c r="AR22" s="1562"/>
      <c r="AS22" s="1562"/>
      <c r="AT22" s="1562"/>
      <c r="AU22" s="1562"/>
      <c r="AV22" s="1562"/>
      <c r="AW22" s="1562"/>
      <c r="AX22" s="2273"/>
      <c r="BF22" s="1082">
        <v>0</v>
      </c>
    </row>
    <row r="23" spans="1:58" ht="14.25" hidden="1" customHeight="1">
      <c r="AO23" s="265"/>
      <c r="AP23" s="1562"/>
      <c r="AQ23" s="1562"/>
      <c r="AR23" s="1562"/>
      <c r="AS23" s="1562"/>
      <c r="AT23" s="1562"/>
      <c r="AU23" s="1562"/>
      <c r="AV23" s="1562"/>
      <c r="AW23" s="1562"/>
      <c r="AX23" s="2273"/>
      <c r="BF23" s="1082">
        <v>0</v>
      </c>
    </row>
    <row r="24" spans="1:58" s="1293" customFormat="1" ht="22.5" hidden="1" customHeight="1">
      <c r="A24" s="1082"/>
      <c r="B24" s="1082"/>
      <c r="C24" s="1082"/>
      <c r="D24" s="1082"/>
      <c r="E24" s="1082"/>
      <c r="F24" s="1082"/>
      <c r="G24" s="1082"/>
      <c r="H24" s="1082"/>
      <c r="I24" s="1082"/>
      <c r="J24" s="1082"/>
      <c r="K24" s="1082"/>
      <c r="L24" s="1082"/>
      <c r="M24" s="1254"/>
      <c r="N24" s="1255"/>
      <c r="O24" s="1255"/>
      <c r="P24" s="1272" t="s">
        <v>421</v>
      </c>
      <c r="Q24" s="1289"/>
      <c r="R24" s="1298"/>
      <c r="S24" s="1298"/>
      <c r="T24" s="1298"/>
      <c r="U24" s="666"/>
      <c r="AC24" s="1294"/>
      <c r="AE24" s="1294"/>
      <c r="AL24" s="1294"/>
      <c r="AN24" s="1294"/>
      <c r="AU24" s="1294"/>
      <c r="AW24" s="1294"/>
      <c r="AX24" s="2279"/>
      <c r="BA24" s="448"/>
      <c r="BB24" s="448"/>
      <c r="BC24" s="448"/>
      <c r="BD24" s="448"/>
      <c r="BE24" s="448"/>
      <c r="BF24" s="1087">
        <v>0</v>
      </c>
    </row>
    <row r="25" spans="1:58"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X25" s="2279"/>
      <c r="BA25" s="448"/>
      <c r="BB25" s="448"/>
      <c r="BC25" s="448"/>
      <c r="BD25" s="448"/>
      <c r="BE25" s="448"/>
      <c r="BF25" s="1087">
        <v>0</v>
      </c>
    </row>
    <row r="26" spans="1:58" s="1293" customFormat="1" ht="14.25" hidden="1" customHeight="1">
      <c r="A26" s="1082"/>
      <c r="B26" s="1082"/>
      <c r="C26" s="1082"/>
      <c r="D26" s="1082"/>
      <c r="E26" s="1082"/>
      <c r="F26" s="1082"/>
      <c r="G26" s="1082"/>
      <c r="H26" s="1082"/>
      <c r="I26" s="1082"/>
      <c r="J26" s="1082"/>
      <c r="K26" s="1082"/>
      <c r="L26" s="1082"/>
      <c r="M26" s="1254"/>
      <c r="N26" s="1255"/>
      <c r="O26" s="1255"/>
      <c r="P26" s="1237" t="s">
        <v>422</v>
      </c>
      <c r="Q26" s="1289"/>
      <c r="R26" s="1298"/>
      <c r="S26" s="1298"/>
      <c r="T26" s="1298"/>
      <c r="U26" s="666"/>
      <c r="V26" s="1087" t="s">
        <v>423</v>
      </c>
      <c r="AD26" s="124" t="s">
        <v>424</v>
      </c>
      <c r="AF26" s="124" t="s">
        <v>425</v>
      </c>
      <c r="AG26" s="1087" t="s">
        <v>423</v>
      </c>
      <c r="AM26" s="124" t="s">
        <v>426</v>
      </c>
      <c r="AO26" s="124" t="s">
        <v>425</v>
      </c>
      <c r="AV26" s="1297" t="s">
        <v>424</v>
      </c>
      <c r="AX26" s="2280" t="s">
        <v>425</v>
      </c>
      <c r="BA26" s="448"/>
      <c r="BB26" s="448"/>
      <c r="BC26" s="448"/>
      <c r="BD26" s="448"/>
      <c r="BE26" s="448"/>
      <c r="BF26" s="1087">
        <v>0</v>
      </c>
    </row>
    <row r="27" spans="1:58" ht="14.25" hidden="1" customHeight="1">
      <c r="P27" s="1237"/>
      <c r="AP27" s="1562"/>
      <c r="AQ27" s="1562"/>
      <c r="AR27" s="1562"/>
      <c r="AS27" s="1562"/>
      <c r="AT27" s="1562"/>
      <c r="AU27" s="1562"/>
      <c r="AV27" s="1562"/>
      <c r="AW27" s="1562"/>
      <c r="AX27" s="2273"/>
      <c r="BF27" s="1082">
        <v>0</v>
      </c>
    </row>
    <row r="28" spans="1:58" ht="14.25" hidden="1" customHeight="1">
      <c r="P28" s="1237"/>
      <c r="AP28" s="1562"/>
      <c r="AQ28" s="1562"/>
      <c r="AR28" s="1562"/>
      <c r="AS28" s="1562"/>
      <c r="AT28" s="1562"/>
      <c r="AU28" s="1562"/>
      <c r="AV28" s="1562"/>
      <c r="AW28" s="1562"/>
      <c r="AX28" s="2273"/>
      <c r="BF28" s="1082">
        <v>0</v>
      </c>
    </row>
    <row r="29" spans="1:58"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P29" s="1562"/>
      <c r="AQ29" s="1562"/>
      <c r="AR29" s="1562"/>
      <c r="AS29" s="1562"/>
      <c r="AT29" s="1562"/>
      <c r="AU29" s="1562"/>
      <c r="AV29" s="1562"/>
      <c r="AW29" s="1562"/>
      <c r="AX29" s="2273"/>
      <c r="BF29" s="1082">
        <v>14</v>
      </c>
    </row>
    <row r="30" spans="1:58" ht="56.65" customHeight="1">
      <c r="R30" s="313"/>
      <c r="S30" s="313"/>
      <c r="T30" s="313"/>
      <c r="U30" s="24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49"/>
      <c r="W30" s="2449"/>
      <c r="X30" s="2449"/>
      <c r="Y30" s="2449"/>
      <c r="Z30" s="2449"/>
      <c r="AA30" s="2449"/>
      <c r="AB30" s="2449"/>
      <c r="AC30" s="2449"/>
      <c r="AD30" s="2449"/>
      <c r="AE30" s="2449"/>
      <c r="AF30" s="2449"/>
      <c r="AG30" s="2449"/>
      <c r="AH30" s="2449"/>
      <c r="AI30" s="2449"/>
      <c r="AJ30" s="2449"/>
      <c r="AK30" s="2449"/>
      <c r="AL30" s="2449"/>
      <c r="AM30" s="2449"/>
      <c r="AN30" s="2449"/>
      <c r="AO30" s="1170"/>
      <c r="AP30" s="2003"/>
      <c r="AQ30" s="2003"/>
      <c r="AR30" s="2003"/>
      <c r="AS30" s="2003"/>
      <c r="AT30" s="2003"/>
      <c r="AU30" s="2003"/>
      <c r="AV30" s="2003"/>
      <c r="AW30" s="2003"/>
      <c r="AX30" s="2281"/>
      <c r="BF30" s="1082">
        <v>54</v>
      </c>
    </row>
    <row r="31" spans="1:58" ht="14.65" customHeight="1">
      <c r="R31" s="313"/>
      <c r="S31" s="313"/>
      <c r="T31" s="313"/>
      <c r="U31" s="2421" t="str">
        <f>IF(org=0,"Не определено",org)</f>
        <v>МУП "Городские тепловые сети" МО  "город Курчатов"</v>
      </c>
      <c r="V31" s="2421"/>
      <c r="W31" s="2421"/>
      <c r="X31" s="2421"/>
      <c r="Y31" s="2421"/>
      <c r="Z31" s="2421"/>
      <c r="AA31" s="2421"/>
      <c r="AB31" s="2421"/>
      <c r="AC31" s="2421"/>
      <c r="AD31" s="2421"/>
      <c r="AE31" s="2421"/>
      <c r="AF31" s="2421"/>
      <c r="AG31" s="2421"/>
      <c r="AH31" s="2421"/>
      <c r="AI31" s="2421"/>
      <c r="AJ31" s="2421"/>
      <c r="AK31" s="2421"/>
      <c r="AL31" s="2421"/>
      <c r="AM31" s="2421"/>
      <c r="AN31" s="2421"/>
      <c r="AO31" s="1170"/>
      <c r="AP31" s="2004"/>
      <c r="AQ31" s="2004"/>
      <c r="AR31" s="2004"/>
      <c r="AS31" s="2004"/>
      <c r="AT31" s="2004"/>
      <c r="AU31" s="2004"/>
      <c r="AV31" s="2004"/>
      <c r="AW31" s="2004"/>
      <c r="AX31" s="2282"/>
      <c r="BF31" s="1082">
        <v>14</v>
      </c>
    </row>
    <row r="32" spans="1:58" ht="14.25" hidden="1"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283"/>
      <c r="AY32" s="446"/>
      <c r="BF32" s="1082">
        <v>0</v>
      </c>
    </row>
    <row r="33" spans="1:58" s="1778" customFormat="1" ht="25.5" hidden="1" customHeight="1">
      <c r="A33" s="1175"/>
      <c r="B33" s="1175"/>
      <c r="C33" s="1175"/>
      <c r="D33" s="1175"/>
      <c r="E33" s="1175"/>
      <c r="F33" s="1175"/>
      <c r="G33" s="1175"/>
      <c r="H33" s="1175"/>
      <c r="I33" s="1175"/>
      <c r="J33" s="1175"/>
      <c r="K33" s="1175"/>
      <c r="L33" s="1175"/>
      <c r="M33" s="1307"/>
      <c r="N33" s="1175"/>
      <c r="O33" s="1175"/>
      <c r="P33" s="1175"/>
      <c r="U33" s="2459" t="s">
        <v>42</v>
      </c>
      <c r="V33" s="2459"/>
      <c r="W33" s="1299"/>
      <c r="X33" s="2461" t="str">
        <f>IF(TITLE_NAME_OR_PR_CHANGE="",IF(TITLE_NAME_OR_PR="","",TITLE_NAME_OR_PR),TITLE_NAME_OR_PR_CHANGE)</f>
        <v/>
      </c>
      <c r="Y33" s="2461"/>
      <c r="Z33" s="2461"/>
      <c r="AA33" s="2461"/>
      <c r="AB33" s="2461"/>
      <c r="AC33" s="2461"/>
      <c r="AD33" s="2461"/>
      <c r="AE33" s="2461"/>
      <c r="AF33" s="264"/>
      <c r="AG33" s="2461" t="str">
        <f>IF(TITLE_NAME_OR_PR_CHANGE="",IF(TITLE_NAME_OR_PR="","",TITLE_NAME_OR_PR),TITLE_NAME_OR_PR_CHANGE)</f>
        <v/>
      </c>
      <c r="AH33" s="2461"/>
      <c r="AI33" s="2461"/>
      <c r="AJ33" s="2461"/>
      <c r="AK33" s="2461"/>
      <c r="AL33" s="2461"/>
      <c r="AM33" s="2461"/>
      <c r="AN33" s="2461"/>
      <c r="AO33" s="264"/>
      <c r="AP33" s="2461" t="str">
        <f>IF(TITLE_NAME_OR_PR_CHANGE="",IF(TITLE_NAME_OR_PR="","",TITLE_NAME_OR_PR),TITLE_NAME_OR_PR_CHANGE)</f>
        <v/>
      </c>
      <c r="AQ33" s="2461"/>
      <c r="AR33" s="2461"/>
      <c r="AS33" s="2461"/>
      <c r="AT33" s="2461"/>
      <c r="AU33" s="2461"/>
      <c r="AV33" s="2461"/>
      <c r="AW33" s="2461"/>
      <c r="AX33" s="2273"/>
      <c r="AY33" s="264"/>
      <c r="AZ33" s="218"/>
      <c r="BA33" s="305"/>
      <c r="BB33" s="305"/>
      <c r="BC33" s="305"/>
      <c r="BD33" s="305"/>
      <c r="BE33" s="305"/>
      <c r="BF33" s="355">
        <v>0</v>
      </c>
    </row>
    <row r="34" spans="1:58" s="1778" customFormat="1" ht="18.75" hidden="1" customHeight="1">
      <c r="A34" s="1175"/>
      <c r="B34" s="1175"/>
      <c r="C34" s="1175"/>
      <c r="D34" s="1175"/>
      <c r="E34" s="1175"/>
      <c r="F34" s="1175"/>
      <c r="G34" s="1175"/>
      <c r="H34" s="1175"/>
      <c r="I34" s="1175"/>
      <c r="J34" s="1175"/>
      <c r="K34" s="1175"/>
      <c r="L34" s="1175"/>
      <c r="M34" s="1307"/>
      <c r="N34" s="1175"/>
      <c r="O34" s="1175"/>
      <c r="P34" s="1175"/>
      <c r="U34" s="2459" t="s">
        <v>427</v>
      </c>
      <c r="V34" s="2459"/>
      <c r="W34" s="1299"/>
      <c r="X34" s="2460">
        <f>IF(TITLE_DATE_PR_CHANGE="",IF(TITLE_DATE_PR="","",TITLE_DATE_PR),TITLE_DATE_PR_CHANGE)</f>
        <v>45775</v>
      </c>
      <c r="Y34" s="2460"/>
      <c r="Z34" s="2460"/>
      <c r="AA34" s="2460"/>
      <c r="AB34" s="2460"/>
      <c r="AC34" s="2460"/>
      <c r="AD34" s="2460"/>
      <c r="AE34" s="2460"/>
      <c r="AF34" s="264"/>
      <c r="AG34" s="2460">
        <f>IF(TITLE_DATE_PR_CHANGE="",IF(TITLE_DATE_PR="","",TITLE_DATE_PR),TITLE_DATE_PR_CHANGE)</f>
        <v>45775</v>
      </c>
      <c r="AH34" s="2460"/>
      <c r="AI34" s="2460"/>
      <c r="AJ34" s="2460"/>
      <c r="AK34" s="2460"/>
      <c r="AL34" s="2460"/>
      <c r="AM34" s="2460"/>
      <c r="AN34" s="2460"/>
      <c r="AO34" s="264"/>
      <c r="AP34" s="2460">
        <f>IF(TITLE_DATE_PR_CHANGE="",IF(TITLE_DATE_PR="","",TITLE_DATE_PR),TITLE_DATE_PR_CHANGE)</f>
        <v>45775</v>
      </c>
      <c r="AQ34" s="2460"/>
      <c r="AR34" s="2460"/>
      <c r="AS34" s="2460"/>
      <c r="AT34" s="2460"/>
      <c r="AU34" s="2460"/>
      <c r="AV34" s="2460"/>
      <c r="AW34" s="2460"/>
      <c r="AX34" s="2273"/>
      <c r="AY34" s="264"/>
      <c r="AZ34" s="218"/>
      <c r="BA34" s="305"/>
      <c r="BB34" s="305"/>
      <c r="BC34" s="305"/>
      <c r="BD34" s="305"/>
      <c r="BE34" s="305"/>
      <c r="BF34" s="355">
        <v>0</v>
      </c>
    </row>
    <row r="35" spans="1:58" s="1778" customFormat="1" ht="18.75" hidden="1" customHeight="1">
      <c r="A35" s="1175"/>
      <c r="B35" s="1175"/>
      <c r="C35" s="1175"/>
      <c r="D35" s="1175"/>
      <c r="E35" s="1175"/>
      <c r="F35" s="1175"/>
      <c r="G35" s="1175"/>
      <c r="H35" s="1175"/>
      <c r="I35" s="1175"/>
      <c r="J35" s="1175"/>
      <c r="K35" s="1175"/>
      <c r="L35" s="1175"/>
      <c r="M35" s="1307"/>
      <c r="N35" s="1175"/>
      <c r="O35" s="1175"/>
      <c r="P35" s="1175"/>
      <c r="U35" s="2459" t="s">
        <v>428</v>
      </c>
      <c r="V35" s="2459"/>
      <c r="W35" s="1299"/>
      <c r="X35" s="2461" t="str">
        <f>IF(TITLE_NUMBER_PR_CHANGE="",IF(TITLE_NUMBER_PR="","",TITLE_NUMBER_PR),TITLE_NUMBER_PR_CHANGE)</f>
        <v>03.5-1382</v>
      </c>
      <c r="Y35" s="2461"/>
      <c r="Z35" s="2461"/>
      <c r="AA35" s="2461"/>
      <c r="AB35" s="2461"/>
      <c r="AC35" s="2461"/>
      <c r="AD35" s="2461"/>
      <c r="AE35" s="2461"/>
      <c r="AF35" s="264"/>
      <c r="AG35" s="2461" t="str">
        <f>IF(TITLE_NUMBER_PR_CHANGE="",IF(TITLE_NUMBER_PR="","",TITLE_NUMBER_PR),TITLE_NUMBER_PR_CHANGE)</f>
        <v>03.5-1382</v>
      </c>
      <c r="AH35" s="2461"/>
      <c r="AI35" s="2461"/>
      <c r="AJ35" s="2461"/>
      <c r="AK35" s="2461"/>
      <c r="AL35" s="2461"/>
      <c r="AM35" s="2461"/>
      <c r="AN35" s="2461"/>
      <c r="AO35" s="264"/>
      <c r="AP35" s="2461" t="str">
        <f>IF(TITLE_NUMBER_PR_CHANGE="",IF(TITLE_NUMBER_PR="","",TITLE_NUMBER_PR),TITLE_NUMBER_PR_CHANGE)</f>
        <v>03.5-1382</v>
      </c>
      <c r="AQ35" s="2461"/>
      <c r="AR35" s="2461"/>
      <c r="AS35" s="2461"/>
      <c r="AT35" s="2461"/>
      <c r="AU35" s="2461"/>
      <c r="AV35" s="2461"/>
      <c r="AW35" s="2461"/>
      <c r="AX35" s="2273"/>
      <c r="AY35" s="264"/>
      <c r="AZ35" s="218"/>
      <c r="BA35" s="305"/>
      <c r="BB35" s="305"/>
      <c r="BC35" s="305"/>
      <c r="BD35" s="305"/>
      <c r="BE35" s="305"/>
      <c r="BF35" s="355">
        <v>0</v>
      </c>
    </row>
    <row r="36" spans="1:58" s="1778" customFormat="1" ht="18.75" hidden="1" customHeight="1">
      <c r="A36" s="1175"/>
      <c r="B36" s="1175"/>
      <c r="C36" s="1175"/>
      <c r="D36" s="1175"/>
      <c r="E36" s="1175"/>
      <c r="F36" s="1175"/>
      <c r="G36" s="1175"/>
      <c r="H36" s="1175"/>
      <c r="I36" s="1175"/>
      <c r="J36" s="1175"/>
      <c r="K36" s="1175"/>
      <c r="L36" s="1175"/>
      <c r="M36" s="1307"/>
      <c r="N36" s="1175"/>
      <c r="O36" s="1175"/>
      <c r="P36" s="1175"/>
      <c r="U36" s="2459" t="s">
        <v>43</v>
      </c>
      <c r="V36" s="2459"/>
      <c r="W36" s="1299"/>
      <c r="X36" s="2461" t="str">
        <f>IF(TITLE_IST_PUB_CHANGE="",IF(TITLE_IST_PUB="","",TITLE_IST_PUB),TITLE_IST_PUB_CHANGE)</f>
        <v/>
      </c>
      <c r="Y36" s="2461"/>
      <c r="Z36" s="2461"/>
      <c r="AA36" s="2461"/>
      <c r="AB36" s="2461"/>
      <c r="AC36" s="2461"/>
      <c r="AD36" s="2461"/>
      <c r="AE36" s="2461"/>
      <c r="AF36" s="264"/>
      <c r="AG36" s="2461" t="str">
        <f>IF(TITLE_IST_PUB_CHANGE="",IF(TITLE_IST_PUB="","",TITLE_IST_PUB),TITLE_IST_PUB_CHANGE)</f>
        <v/>
      </c>
      <c r="AH36" s="2461"/>
      <c r="AI36" s="2461"/>
      <c r="AJ36" s="2461"/>
      <c r="AK36" s="2461"/>
      <c r="AL36" s="2461"/>
      <c r="AM36" s="2461"/>
      <c r="AN36" s="2461"/>
      <c r="AO36" s="264"/>
      <c r="AP36" s="2461" t="str">
        <f>IF(TITLE_IST_PUB_CHANGE="",IF(TITLE_IST_PUB="","",TITLE_IST_PUB),TITLE_IST_PUB_CHANGE)</f>
        <v/>
      </c>
      <c r="AQ36" s="2461"/>
      <c r="AR36" s="2461"/>
      <c r="AS36" s="2461"/>
      <c r="AT36" s="2461"/>
      <c r="AU36" s="2461"/>
      <c r="AV36" s="2461"/>
      <c r="AW36" s="2461"/>
      <c r="AX36" s="2273"/>
      <c r="AY36" s="264"/>
      <c r="AZ36" s="218"/>
      <c r="BA36" s="305"/>
      <c r="BB36" s="305"/>
      <c r="BC36" s="305"/>
      <c r="BD36" s="305"/>
      <c r="BE36" s="305"/>
      <c r="BF36" s="355">
        <v>0</v>
      </c>
    </row>
    <row r="37" spans="1:58" ht="14.25"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283"/>
      <c r="AY37" s="446"/>
      <c r="BF37" s="1082">
        <v>0</v>
      </c>
    </row>
    <row r="38" spans="1:58" s="1778" customFormat="1" ht="18.75" customHeight="1">
      <c r="A38" s="1175"/>
      <c r="B38" s="1175"/>
      <c r="C38" s="1175"/>
      <c r="D38" s="1175"/>
      <c r="E38" s="1175"/>
      <c r="F38" s="1175"/>
      <c r="G38" s="1175"/>
      <c r="H38" s="1175"/>
      <c r="I38" s="1175"/>
      <c r="J38" s="1175"/>
      <c r="K38" s="1175"/>
      <c r="L38" s="1175"/>
      <c r="M38" s="1307"/>
      <c r="N38" s="1175"/>
      <c r="O38" s="1175"/>
      <c r="P38" s="1175"/>
      <c r="U38" s="2459" t="s">
        <v>429</v>
      </c>
      <c r="V38" s="2459"/>
      <c r="W38" s="1299"/>
      <c r="X38" s="2460">
        <f>IF(TITLE_DATE_PR_CHANGE="",IF(TITLE_DATE_PR="","",TITLE_DATE_PR),TITLE_DATE_PR_CHANGE)</f>
        <v>45775</v>
      </c>
      <c r="Y38" s="2460"/>
      <c r="Z38" s="2460"/>
      <c r="AA38" s="2460"/>
      <c r="AB38" s="2460"/>
      <c r="AC38" s="2460"/>
      <c r="AD38" s="2460"/>
      <c r="AE38" s="2460"/>
      <c r="AF38" s="264"/>
      <c r="AG38" s="2460">
        <f>IF(TITLE_DATE_PR_CHANGE="",IF(TITLE_DATE_PR="","",TITLE_DATE_PR),TITLE_DATE_PR_CHANGE)</f>
        <v>45775</v>
      </c>
      <c r="AH38" s="2460"/>
      <c r="AI38" s="2460"/>
      <c r="AJ38" s="2460"/>
      <c r="AK38" s="2460"/>
      <c r="AL38" s="2460"/>
      <c r="AM38" s="2460"/>
      <c r="AN38" s="2460"/>
      <c r="AO38" s="264"/>
      <c r="AP38" s="2460">
        <f>IF(TITLE_DATE_PR_CHANGE="",IF(TITLE_DATE_PR="","",TITLE_DATE_PR),TITLE_DATE_PR_CHANGE)</f>
        <v>45775</v>
      </c>
      <c r="AQ38" s="2460"/>
      <c r="AR38" s="2460"/>
      <c r="AS38" s="2460"/>
      <c r="AT38" s="2460"/>
      <c r="AU38" s="2460"/>
      <c r="AV38" s="2460"/>
      <c r="AW38" s="2460"/>
      <c r="AX38" s="2273"/>
      <c r="AY38" s="264"/>
      <c r="AZ38" s="218"/>
      <c r="BA38" s="305"/>
      <c r="BB38" s="305"/>
      <c r="BC38" s="305"/>
      <c r="BD38" s="305"/>
      <c r="BE38" s="305"/>
      <c r="BF38" s="355">
        <v>0</v>
      </c>
    </row>
    <row r="39" spans="1:58" s="1778" customFormat="1" ht="18.75" customHeight="1">
      <c r="A39" s="1175"/>
      <c r="B39" s="1175"/>
      <c r="C39" s="1175"/>
      <c r="D39" s="1175"/>
      <c r="E39" s="1175"/>
      <c r="F39" s="1175"/>
      <c r="G39" s="1175"/>
      <c r="H39" s="1175"/>
      <c r="I39" s="1175"/>
      <c r="J39" s="1175"/>
      <c r="K39" s="1175"/>
      <c r="L39" s="1175"/>
      <c r="M39" s="1307"/>
      <c r="N39" s="1175"/>
      <c r="O39" s="1175"/>
      <c r="P39" s="1175"/>
      <c r="U39" s="2459" t="s">
        <v>430</v>
      </c>
      <c r="V39" s="2459"/>
      <c r="W39" s="1299"/>
      <c r="X39" s="2461" t="str">
        <f>IF(TITLE_NUMBER_PR_CHANGE="",IF(TITLE_NUMBER_PR="","",TITLE_NUMBER_PR),TITLE_NUMBER_PR_CHANGE)</f>
        <v>03.5-1382</v>
      </c>
      <c r="Y39" s="2461"/>
      <c r="Z39" s="2461"/>
      <c r="AA39" s="2461"/>
      <c r="AB39" s="2461"/>
      <c r="AC39" s="2461"/>
      <c r="AD39" s="2461"/>
      <c r="AE39" s="2461"/>
      <c r="AF39" s="264"/>
      <c r="AG39" s="2461" t="str">
        <f>IF(TITLE_NUMBER_PR_CHANGE="",IF(TITLE_NUMBER_PR="","",TITLE_NUMBER_PR),TITLE_NUMBER_PR_CHANGE)</f>
        <v>03.5-1382</v>
      </c>
      <c r="AH39" s="2461"/>
      <c r="AI39" s="2461"/>
      <c r="AJ39" s="2461"/>
      <c r="AK39" s="2461"/>
      <c r="AL39" s="2461"/>
      <c r="AM39" s="2461"/>
      <c r="AN39" s="2461"/>
      <c r="AO39" s="264"/>
      <c r="AP39" s="2461" t="str">
        <f>IF(TITLE_NUMBER_PR_CHANGE="",IF(TITLE_NUMBER_PR="","",TITLE_NUMBER_PR),TITLE_NUMBER_PR_CHANGE)</f>
        <v>03.5-1382</v>
      </c>
      <c r="AQ39" s="2461"/>
      <c r="AR39" s="2461"/>
      <c r="AS39" s="2461"/>
      <c r="AT39" s="2461"/>
      <c r="AU39" s="2461"/>
      <c r="AV39" s="2461"/>
      <c r="AW39" s="2461"/>
      <c r="AX39" s="2273"/>
      <c r="AY39" s="264"/>
      <c r="AZ39" s="218"/>
      <c r="BA39" s="305"/>
      <c r="BB39" s="305"/>
      <c r="BC39" s="305"/>
      <c r="BD39" s="305"/>
      <c r="BE39" s="305"/>
      <c r="BF39" s="355">
        <v>0</v>
      </c>
    </row>
    <row r="40" spans="1:58"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431</v>
      </c>
      <c r="AG40" s="264"/>
      <c r="AH40" s="264"/>
      <c r="AI40" s="264"/>
      <c r="AJ40" s="264"/>
      <c r="AK40" s="264"/>
      <c r="AL40" s="264"/>
      <c r="AM40" s="264"/>
      <c r="AN40" s="264"/>
      <c r="AO40" s="216" t="s">
        <v>431</v>
      </c>
      <c r="AP40" s="1562"/>
      <c r="AQ40" s="1562"/>
      <c r="AR40" s="1562"/>
      <c r="AS40" s="1562"/>
      <c r="AT40" s="1562"/>
      <c r="AU40" s="1562"/>
      <c r="AV40" s="1562"/>
      <c r="AW40" s="1562"/>
      <c r="AX40" s="2284" t="s">
        <v>431</v>
      </c>
      <c r="BA40" s="305"/>
      <c r="BB40" s="305"/>
      <c r="BC40" s="305"/>
      <c r="BD40" s="305"/>
      <c r="BE40" s="305"/>
      <c r="BF40" s="355">
        <v>0</v>
      </c>
    </row>
    <row r="41" spans="1:58" ht="14.65" customHeight="1">
      <c r="R41" s="313"/>
      <c r="S41" s="313"/>
      <c r="T41" s="313"/>
      <c r="U41" s="1202"/>
      <c r="V41" s="300"/>
      <c r="W41" s="1171"/>
      <c r="X41" s="2480"/>
      <c r="Y41" s="2480"/>
      <c r="Z41" s="2480"/>
      <c r="AA41" s="2480"/>
      <c r="AB41" s="2480"/>
      <c r="AC41" s="2480"/>
      <c r="AD41" s="2480"/>
      <c r="AE41" s="2480"/>
      <c r="AF41" s="2480"/>
      <c r="AG41" s="2480"/>
      <c r="AH41" s="2480"/>
      <c r="AI41" s="2480"/>
      <c r="AJ41" s="2480"/>
      <c r="AK41" s="2480"/>
      <c r="AL41" s="2480"/>
      <c r="AM41" s="2480"/>
      <c r="AN41" s="2480"/>
      <c r="AO41" s="2480"/>
      <c r="AP41" s="2480" t="s">
        <v>452</v>
      </c>
      <c r="AQ41" s="2480"/>
      <c r="AR41" s="2480"/>
      <c r="AS41" s="2480"/>
      <c r="AT41" s="2480"/>
      <c r="AU41" s="2480"/>
      <c r="AV41" s="2480"/>
      <c r="AW41" s="2480"/>
      <c r="AX41" s="2499"/>
      <c r="BF41" s="1082">
        <v>14</v>
      </c>
    </row>
    <row r="42" spans="1:58" ht="15" customHeight="1">
      <c r="R42" s="313"/>
      <c r="S42" s="313"/>
      <c r="T42" s="313"/>
      <c r="U42" s="2332" t="s">
        <v>307</v>
      </c>
      <c r="V42" s="2332"/>
      <c r="W42" s="2332"/>
      <c r="X42" s="2332"/>
      <c r="Y42" s="2332"/>
      <c r="Z42" s="2332"/>
      <c r="AA42" s="2332"/>
      <c r="AB42" s="2332"/>
      <c r="AC42" s="2332"/>
      <c r="AD42" s="2332"/>
      <c r="AE42" s="2332"/>
      <c r="AF42" s="2332"/>
      <c r="AG42" s="2332"/>
      <c r="AH42" s="2332"/>
      <c r="AI42" s="2332"/>
      <c r="AJ42" s="2332"/>
      <c r="AK42" s="2332"/>
      <c r="AL42" s="2332"/>
      <c r="AM42" s="2332"/>
      <c r="AN42" s="2332"/>
      <c r="AO42" s="2332"/>
      <c r="AP42" s="2332" t="s">
        <v>307</v>
      </c>
      <c r="AQ42" s="2332"/>
      <c r="AR42" s="2332"/>
      <c r="AS42" s="2332"/>
      <c r="AT42" s="2332"/>
      <c r="AU42" s="2332"/>
      <c r="AV42" s="2332"/>
      <c r="AW42" s="2332"/>
      <c r="AX42" s="2497"/>
      <c r="AY42" s="2332"/>
      <c r="AZ42" s="2332"/>
      <c r="BF42" s="1082"/>
    </row>
    <row r="43" spans="1:58" ht="14.65" customHeight="1">
      <c r="R43" s="313"/>
      <c r="S43" s="313"/>
      <c r="T43" s="313"/>
      <c r="U43" s="2481" t="s">
        <v>89</v>
      </c>
      <c r="V43" s="2429" t="s">
        <v>432</v>
      </c>
      <c r="W43" s="239"/>
      <c r="X43" s="2482" t="s">
        <v>433</v>
      </c>
      <c r="Y43" s="2508"/>
      <c r="Z43" s="2508"/>
      <c r="AA43" s="2508"/>
      <c r="AB43" s="2508"/>
      <c r="AC43" s="2483"/>
      <c r="AD43" s="2483"/>
      <c r="AE43" s="2484"/>
      <c r="AF43" s="2485" t="s">
        <v>434</v>
      </c>
      <c r="AG43" s="2482" t="s">
        <v>433</v>
      </c>
      <c r="AH43" s="2508"/>
      <c r="AI43" s="2508"/>
      <c r="AJ43" s="2508"/>
      <c r="AK43" s="2508"/>
      <c r="AL43" s="2483"/>
      <c r="AM43" s="2483"/>
      <c r="AN43" s="2484"/>
      <c r="AO43" s="2485" t="s">
        <v>435</v>
      </c>
      <c r="AP43" s="2482" t="s">
        <v>433</v>
      </c>
      <c r="AQ43" s="2508"/>
      <c r="AR43" s="2508"/>
      <c r="AS43" s="2508"/>
      <c r="AT43" s="2508"/>
      <c r="AU43" s="2483"/>
      <c r="AV43" s="2483"/>
      <c r="AW43" s="2484"/>
      <c r="AX43" s="2500" t="s">
        <v>434</v>
      </c>
      <c r="AY43" s="2488" t="s">
        <v>436</v>
      </c>
      <c r="AZ43" s="2332"/>
      <c r="BF43" s="1082">
        <v>14</v>
      </c>
    </row>
    <row r="44" spans="1:58" ht="35.65" customHeight="1">
      <c r="R44" s="313"/>
      <c r="S44" s="313"/>
      <c r="T44" s="313"/>
      <c r="U44" s="2481"/>
      <c r="V44" s="2429"/>
      <c r="W44" s="961"/>
      <c r="X44" s="2402" t="s">
        <v>463</v>
      </c>
      <c r="Y44" s="2332" t="s">
        <v>464</v>
      </c>
      <c r="Z44" s="2332"/>
      <c r="AA44" s="2332"/>
      <c r="AB44" s="2332"/>
      <c r="AC44" s="2402" t="s">
        <v>440</v>
      </c>
      <c r="AD44" s="2520"/>
      <c r="AE44" s="2403"/>
      <c r="AF44" s="2486"/>
      <c r="AG44" s="2402" t="s">
        <v>463</v>
      </c>
      <c r="AH44" s="2332" t="s">
        <v>464</v>
      </c>
      <c r="AI44" s="2332"/>
      <c r="AJ44" s="2332"/>
      <c r="AK44" s="2332"/>
      <c r="AL44" s="2402" t="s">
        <v>440</v>
      </c>
      <c r="AM44" s="2520"/>
      <c r="AN44" s="2403"/>
      <c r="AO44" s="2486"/>
      <c r="AP44" s="2402" t="s">
        <v>463</v>
      </c>
      <c r="AQ44" s="2332" t="s">
        <v>464</v>
      </c>
      <c r="AR44" s="2332"/>
      <c r="AS44" s="2332"/>
      <c r="AT44" s="2332"/>
      <c r="AU44" s="2402" t="s">
        <v>440</v>
      </c>
      <c r="AV44" s="2520"/>
      <c r="AW44" s="2403"/>
      <c r="AX44" s="2501"/>
      <c r="AY44" s="2489"/>
      <c r="AZ44" s="2332"/>
      <c r="BF44" s="1082">
        <v>34</v>
      </c>
    </row>
    <row r="45" spans="1:58" ht="14.65" customHeight="1">
      <c r="R45" s="313"/>
      <c r="S45" s="313"/>
      <c r="T45" s="313"/>
      <c r="U45" s="2481"/>
      <c r="V45" s="2429"/>
      <c r="W45" s="961"/>
      <c r="X45" s="2404"/>
      <c r="Y45" s="2435" t="s">
        <v>465</v>
      </c>
      <c r="Z45" s="2434" t="s">
        <v>466</v>
      </c>
      <c r="AA45" s="2447"/>
      <c r="AB45" s="2448"/>
      <c r="AC45" s="2407"/>
      <c r="AD45" s="2521"/>
      <c r="AE45" s="2408"/>
      <c r="AF45" s="2486"/>
      <c r="AG45" s="2404"/>
      <c r="AH45" s="2435" t="s">
        <v>465</v>
      </c>
      <c r="AI45" s="2434" t="s">
        <v>466</v>
      </c>
      <c r="AJ45" s="2447"/>
      <c r="AK45" s="2448"/>
      <c r="AL45" s="2407"/>
      <c r="AM45" s="2521"/>
      <c r="AN45" s="2408"/>
      <c r="AO45" s="2486"/>
      <c r="AP45" s="2404"/>
      <c r="AQ45" s="2435" t="s">
        <v>465</v>
      </c>
      <c r="AR45" s="2434" t="s">
        <v>466</v>
      </c>
      <c r="AS45" s="2447"/>
      <c r="AT45" s="2448"/>
      <c r="AU45" s="2407"/>
      <c r="AV45" s="2521"/>
      <c r="AW45" s="2408"/>
      <c r="AX45" s="2501"/>
      <c r="AY45" s="2489"/>
      <c r="AZ45" s="2332"/>
      <c r="BF45" s="1082">
        <v>14</v>
      </c>
    </row>
    <row r="46" spans="1:58" ht="27.4" customHeight="1">
      <c r="R46" s="313"/>
      <c r="S46" s="313"/>
      <c r="T46" s="313"/>
      <c r="U46" s="2481"/>
      <c r="V46" s="2429"/>
      <c r="W46" s="961"/>
      <c r="X46" s="2404"/>
      <c r="Y46" s="2519"/>
      <c r="Z46" s="2435" t="s">
        <v>467</v>
      </c>
      <c r="AA46" s="2434" t="s">
        <v>468</v>
      </c>
      <c r="AB46" s="2448"/>
      <c r="AC46" s="2435" t="s">
        <v>450</v>
      </c>
      <c r="AD46" s="2439" t="s">
        <v>451</v>
      </c>
      <c r="AE46" s="2437"/>
      <c r="AF46" s="2486"/>
      <c r="AG46" s="2404"/>
      <c r="AH46" s="2519"/>
      <c r="AI46" s="2435" t="s">
        <v>467</v>
      </c>
      <c r="AJ46" s="2434" t="s">
        <v>468</v>
      </c>
      <c r="AK46" s="2448"/>
      <c r="AL46" s="2435" t="s">
        <v>450</v>
      </c>
      <c r="AM46" s="2439" t="s">
        <v>451</v>
      </c>
      <c r="AN46" s="2437"/>
      <c r="AO46" s="2486"/>
      <c r="AP46" s="2404"/>
      <c r="AQ46" s="2519"/>
      <c r="AR46" s="2435" t="s">
        <v>467</v>
      </c>
      <c r="AS46" s="2434" t="s">
        <v>468</v>
      </c>
      <c r="AT46" s="2448"/>
      <c r="AU46" s="2435" t="s">
        <v>450</v>
      </c>
      <c r="AV46" s="2439" t="s">
        <v>451</v>
      </c>
      <c r="AW46" s="2437"/>
      <c r="AX46" s="2501"/>
      <c r="AY46" s="2489"/>
      <c r="AZ46" s="2332"/>
      <c r="BF46" s="1082">
        <v>26</v>
      </c>
    </row>
    <row r="47" spans="1:58" ht="65.25" customHeight="1">
      <c r="A47" s="1186"/>
      <c r="B47" s="1186" t="s">
        <v>136</v>
      </c>
      <c r="C47" s="1186" t="s">
        <v>137</v>
      </c>
      <c r="D47" s="1186" t="s">
        <v>138</v>
      </c>
      <c r="E47" s="1237" t="s">
        <v>441</v>
      </c>
      <c r="F47" s="1237" t="s">
        <v>442</v>
      </c>
      <c r="G47" s="1237" t="s">
        <v>443</v>
      </c>
      <c r="H47" s="1237" t="s">
        <v>444</v>
      </c>
      <c r="I47" s="1237" t="s">
        <v>445</v>
      </c>
      <c r="J47" s="1237" t="s">
        <v>446</v>
      </c>
      <c r="K47" s="1237" t="s">
        <v>447</v>
      </c>
      <c r="L47" s="1237" t="s">
        <v>469</v>
      </c>
      <c r="M47" s="1237" t="s">
        <v>422</v>
      </c>
      <c r="R47" s="313"/>
      <c r="S47" s="313"/>
      <c r="T47" s="313"/>
      <c r="U47" s="2481"/>
      <c r="V47" s="2429"/>
      <c r="W47" s="240"/>
      <c r="X47" s="2407"/>
      <c r="Y47" s="2436"/>
      <c r="Z47" s="2436"/>
      <c r="AA47" s="1149" t="s">
        <v>470</v>
      </c>
      <c r="AB47" s="1149" t="s">
        <v>471</v>
      </c>
      <c r="AC47" s="2436"/>
      <c r="AD47" s="2440"/>
      <c r="AE47" s="2438"/>
      <c r="AF47" s="2487"/>
      <c r="AG47" s="2407"/>
      <c r="AH47" s="2436"/>
      <c r="AI47" s="2436"/>
      <c r="AJ47" s="1149" t="s">
        <v>470</v>
      </c>
      <c r="AK47" s="1149" t="s">
        <v>471</v>
      </c>
      <c r="AL47" s="2436"/>
      <c r="AM47" s="2440"/>
      <c r="AN47" s="2438"/>
      <c r="AO47" s="2487"/>
      <c r="AP47" s="2407"/>
      <c r="AQ47" s="2436"/>
      <c r="AR47" s="2436"/>
      <c r="AS47" s="2013" t="s">
        <v>470</v>
      </c>
      <c r="AT47" s="2013" t="s">
        <v>471</v>
      </c>
      <c r="AU47" s="2436"/>
      <c r="AV47" s="2440"/>
      <c r="AW47" s="2438"/>
      <c r="AX47" s="2502"/>
      <c r="AY47" s="2490"/>
      <c r="AZ47" s="2332"/>
      <c r="BF47" s="1082">
        <v>62</v>
      </c>
    </row>
    <row r="48" spans="1:58"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110</v>
      </c>
      <c r="V48" s="1182" t="s">
        <v>111</v>
      </c>
      <c r="W48" s="1172" t="str">
        <f ca="1">OFFSET(W48,0,-1)</f>
        <v>2</v>
      </c>
      <c r="X48" s="1262">
        <f ca="1">OFFSET(X48,0,-1)+1</f>
        <v>3</v>
      </c>
      <c r="Y48" s="1268"/>
      <c r="Z48" s="1268"/>
      <c r="AA48" s="1268">
        <f ca="1">OFFSET(AA48,0,-1)+1</f>
        <v>1</v>
      </c>
      <c r="AB48" s="1268">
        <f ca="1">OFFSET(AB48,0,-1)+1</f>
        <v>2</v>
      </c>
      <c r="AC48" s="1262">
        <f ca="1">OFFSET(AC48,0,-1)+1</f>
        <v>3</v>
      </c>
      <c r="AD48" s="2479">
        <f ca="1">OFFSET(AD48,0,-1)+1</f>
        <v>4</v>
      </c>
      <c r="AE48" s="2479"/>
      <c r="AF48" s="1262">
        <f ca="1">OFFSET(AF48,0,-2)+1</f>
        <v>5</v>
      </c>
      <c r="AG48" s="1262">
        <f ca="1">OFFSET(AG48,0,-1)+1</f>
        <v>6</v>
      </c>
      <c r="AH48" s="1262"/>
      <c r="AI48" s="1262"/>
      <c r="AJ48" s="1262">
        <f ca="1">OFFSET(AJ48,0,-1)+1</f>
        <v>1</v>
      </c>
      <c r="AK48" s="1262">
        <f ca="1">OFFSET(AK48,0,-1)+1</f>
        <v>2</v>
      </c>
      <c r="AL48" s="1262">
        <f ca="1">OFFSET(AL48,0,-1)+1</f>
        <v>3</v>
      </c>
      <c r="AM48" s="2479">
        <f ca="1">OFFSET(AM48,0,-1)+1</f>
        <v>4</v>
      </c>
      <c r="AN48" s="2479"/>
      <c r="AO48" s="1262">
        <f ca="1">OFFSET(AO48,0,-2)+1</f>
        <v>5</v>
      </c>
      <c r="AP48" s="2005">
        <f ca="1">OFFSET(AP48,0,-1)+1</f>
        <v>6</v>
      </c>
      <c r="AQ48" s="1268"/>
      <c r="AR48" s="1268"/>
      <c r="AS48" s="1268">
        <f ca="1">OFFSET(AS48,0,-1)+1</f>
        <v>1</v>
      </c>
      <c r="AT48" s="1268">
        <f ca="1">OFFSET(AT48,0,-1)+1</f>
        <v>2</v>
      </c>
      <c r="AU48" s="2005">
        <f ca="1">OFFSET(AU48,0,-1)+1</f>
        <v>3</v>
      </c>
      <c r="AV48" s="2479">
        <f ca="1">OFFSET(AV48,0,-1)+1</f>
        <v>4</v>
      </c>
      <c r="AW48" s="2479"/>
      <c r="AX48" s="2285">
        <f ca="1">OFFSET(AX48,0,-2)+1</f>
        <v>5</v>
      </c>
      <c r="AY48" s="1172">
        <f ca="1">OFFSET(AY48,0,-1)</f>
        <v>5</v>
      </c>
      <c r="AZ48" s="1262">
        <f ca="1">OFFSET(AZ48,0,-1)+1</f>
        <v>6</v>
      </c>
      <c r="BA48" s="448"/>
      <c r="BB48" s="448"/>
      <c r="BC48" s="448"/>
      <c r="BD48" s="448"/>
      <c r="BE48" s="448"/>
      <c r="BF48" s="433">
        <v>0</v>
      </c>
    </row>
    <row r="49" spans="1:58" ht="21.95" customHeight="1">
      <c r="A49" s="1194" t="s">
        <v>183</v>
      </c>
      <c r="B49" s="1194"/>
      <c r="C49" s="1194"/>
      <c r="D49" s="1194"/>
      <c r="E49" s="2504">
        <v>1</v>
      </c>
      <c r="F49" s="1194"/>
      <c r="G49" s="1194"/>
      <c r="H49" s="1194"/>
      <c r="I49" s="1194"/>
      <c r="J49" s="1194"/>
      <c r="K49" s="1194"/>
      <c r="L49" s="1194"/>
      <c r="M49" s="1237"/>
      <c r="N49" s="625"/>
      <c r="O49" s="625"/>
      <c r="P49" s="625"/>
      <c r="Q49" s="298"/>
      <c r="R49" s="297"/>
      <c r="S49" s="297"/>
      <c r="T49" s="292"/>
      <c r="U49" s="1263">
        <f>INDEX(PT_DIFFERENTIATION_NUM_NTAR,MATCH(A49,PT_DIFFERENTIATION_NTAR_ID,0))</f>
        <v>1</v>
      </c>
      <c r="V49" s="236" t="s">
        <v>124</v>
      </c>
      <c r="W49" s="238"/>
      <c r="X49" s="2462"/>
      <c r="Y49" s="2463"/>
      <c r="Z49" s="2463"/>
      <c r="AA49" s="2463"/>
      <c r="AB49" s="2463"/>
      <c r="AC49" s="2463"/>
      <c r="AD49" s="2463"/>
      <c r="AE49" s="2463"/>
      <c r="AF49" s="2464"/>
      <c r="AG49" s="2462" t="str">
        <f>INDEX(PT_DIFFERENTIATION_NTAR,MATCH(A49,PT_DIFFERENTIATION_NTAR_ID,0))</f>
        <v>Тариф на горячую воду в открытой системе теплоснабжения (горячее водоснабжение)</v>
      </c>
      <c r="AH49" s="2463"/>
      <c r="AI49" s="2463"/>
      <c r="AJ49" s="2463"/>
      <c r="AK49" s="2463"/>
      <c r="AL49" s="2463"/>
      <c r="AM49" s="2463"/>
      <c r="AN49" s="2463"/>
      <c r="AO49" s="2463"/>
      <c r="AP49" s="2462"/>
      <c r="AQ49" s="2463"/>
      <c r="AR49" s="2463"/>
      <c r="AS49" s="2463"/>
      <c r="AT49" s="2463"/>
      <c r="AU49" s="2463"/>
      <c r="AV49" s="2463"/>
      <c r="AW49" s="2463"/>
      <c r="AX49" s="2496"/>
      <c r="AY49" s="2464"/>
      <c r="AZ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B49" s="437"/>
      <c r="BC49" s="437" t="str">
        <f t="shared" ref="BC49:BC61" si="2">IF(V49="","",V49)</f>
        <v>Наименование тарифа</v>
      </c>
      <c r="BD49" s="437"/>
      <c r="BE49" s="437"/>
      <c r="BF49" s="1082">
        <v>21</v>
      </c>
    </row>
    <row r="50" spans="1:58" ht="21.95" customHeight="1">
      <c r="A50" s="1194" t="s">
        <v>183</v>
      </c>
      <c r="B50" s="1194" t="s">
        <v>184</v>
      </c>
      <c r="C50" s="1194"/>
      <c r="D50" s="1194"/>
      <c r="E50" s="2505"/>
      <c r="F50" s="2504">
        <v>1</v>
      </c>
      <c r="G50" s="1194"/>
      <c r="H50" s="1194"/>
      <c r="I50" s="1194"/>
      <c r="J50" s="1194"/>
      <c r="K50" s="1194"/>
      <c r="L50" s="1194"/>
      <c r="M50" s="1237"/>
      <c r="N50" s="625"/>
      <c r="O50" s="625"/>
      <c r="P50" s="625"/>
      <c r="Q50" s="1259"/>
      <c r="R50" s="289"/>
      <c r="S50" s="446"/>
      <c r="T50" s="290"/>
      <c r="U50" s="1263" t="str">
        <f>INDEX(PT_DIFFERENTIATION_NUM_TER,MATCH(B50,PT_DIFFERENTIATION_TER_ID,0))</f>
        <v>1.1</v>
      </c>
      <c r="V50" s="246" t="s">
        <v>404</v>
      </c>
      <c r="W50" s="238"/>
      <c r="X50" s="2462"/>
      <c r="Y50" s="2463"/>
      <c r="Z50" s="2463"/>
      <c r="AA50" s="2463"/>
      <c r="AB50" s="2463"/>
      <c r="AC50" s="2463"/>
      <c r="AD50" s="2463"/>
      <c r="AE50" s="2463"/>
      <c r="AF50" s="2464"/>
      <c r="AG50" s="2462" t="str">
        <f>INDEX(PT_DIFFERENTIATION_TER,MATCH(B50,PT_DIFFERENTIATION_TER_ID,0))</f>
        <v>Территория 1</v>
      </c>
      <c r="AH50" s="2463"/>
      <c r="AI50" s="2463"/>
      <c r="AJ50" s="2463"/>
      <c r="AK50" s="2463"/>
      <c r="AL50" s="2463"/>
      <c r="AM50" s="2463"/>
      <c r="AN50" s="2463"/>
      <c r="AO50" s="2463"/>
      <c r="AP50" s="2462"/>
      <c r="AQ50" s="2463"/>
      <c r="AR50" s="2463"/>
      <c r="AS50" s="2463"/>
      <c r="AT50" s="2463"/>
      <c r="AU50" s="2463"/>
      <c r="AV50" s="2463"/>
      <c r="AW50" s="2463"/>
      <c r="AX50" s="2496"/>
      <c r="AY50" s="2464"/>
      <c r="AZ50" s="1185" t="s">
        <v>405</v>
      </c>
      <c r="BB50" s="437"/>
      <c r="BC50" s="437" t="str">
        <f t="shared" si="2"/>
        <v>Территория действия тарифа</v>
      </c>
      <c r="BD50" s="437"/>
      <c r="BE50" s="437"/>
      <c r="BF50" s="1082">
        <v>21</v>
      </c>
    </row>
    <row r="51" spans="1:58" ht="24" customHeight="1">
      <c r="A51" s="1194" t="s">
        <v>183</v>
      </c>
      <c r="B51" s="1194" t="s">
        <v>184</v>
      </c>
      <c r="C51" s="1194" t="s">
        <v>185</v>
      </c>
      <c r="D51" s="1194"/>
      <c r="E51" s="2505"/>
      <c r="F51" s="2505"/>
      <c r="G51" s="2504">
        <v>1</v>
      </c>
      <c r="H51" s="1194"/>
      <c r="I51" s="1194"/>
      <c r="J51" s="1194"/>
      <c r="K51" s="1194"/>
      <c r="L51" s="1194"/>
      <c r="M51" s="1237"/>
      <c r="N51" s="625"/>
      <c r="O51" s="625"/>
      <c r="P51" s="625"/>
      <c r="Q51" s="291"/>
      <c r="R51" s="289"/>
      <c r="S51" s="446"/>
      <c r="T51" s="290"/>
      <c r="U51" s="1263" t="str">
        <f>INDEX(PT_DIFFERENTIATION_NUM_CS,MATCH(C51,PT_DIFFERENTIATION_CS_ID,0))</f>
        <v>1.1.1</v>
      </c>
      <c r="V51" s="247" t="s">
        <v>406</v>
      </c>
      <c r="W51" s="238"/>
      <c r="X51" s="2462"/>
      <c r="Y51" s="2463"/>
      <c r="Z51" s="2463"/>
      <c r="AA51" s="2463"/>
      <c r="AB51" s="2463"/>
      <c r="AC51" s="2463"/>
      <c r="AD51" s="2463"/>
      <c r="AE51" s="2463"/>
      <c r="AF51" s="2464"/>
      <c r="AG51" s="2462" t="str">
        <f>INDEX(PT_DIFFERENTIATION_CS,MATCH(C51,PT_DIFFERENTIATION_CS_ID,0))</f>
        <v>без дифференциации</v>
      </c>
      <c r="AH51" s="2463"/>
      <c r="AI51" s="2463"/>
      <c r="AJ51" s="2463"/>
      <c r="AK51" s="2463"/>
      <c r="AL51" s="2463"/>
      <c r="AM51" s="2463"/>
      <c r="AN51" s="2463"/>
      <c r="AO51" s="2463"/>
      <c r="AP51" s="2462"/>
      <c r="AQ51" s="2463"/>
      <c r="AR51" s="2463"/>
      <c r="AS51" s="2463"/>
      <c r="AT51" s="2463"/>
      <c r="AU51" s="2463"/>
      <c r="AV51" s="2463"/>
      <c r="AW51" s="2463"/>
      <c r="AX51" s="2496"/>
      <c r="AY51" s="2464"/>
      <c r="AZ51" s="1185" t="s">
        <v>407</v>
      </c>
      <c r="BB51" s="437"/>
      <c r="BC51" s="437" t="str">
        <f t="shared" si="2"/>
        <v xml:space="preserve">Наименование системы теплоснабжения </v>
      </c>
      <c r="BD51" s="437"/>
      <c r="BE51" s="437"/>
      <c r="BF51" s="1082">
        <v>23</v>
      </c>
    </row>
    <row r="52" spans="1:58" ht="21.95" customHeight="1">
      <c r="A52" s="1194" t="s">
        <v>183</v>
      </c>
      <c r="B52" s="1194" t="s">
        <v>184</v>
      </c>
      <c r="C52" s="1194" t="s">
        <v>185</v>
      </c>
      <c r="D52" s="1194" t="s">
        <v>186</v>
      </c>
      <c r="E52" s="2505"/>
      <c r="F52" s="2505"/>
      <c r="G52" s="2505"/>
      <c r="H52" s="2504">
        <v>1</v>
      </c>
      <c r="I52" s="1194"/>
      <c r="J52" s="1194"/>
      <c r="K52" s="1194"/>
      <c r="L52" s="1194"/>
      <c r="M52" s="1237"/>
      <c r="N52" s="625"/>
      <c r="O52" s="625"/>
      <c r="P52" s="625"/>
      <c r="Q52" s="291"/>
      <c r="R52" s="289"/>
      <c r="S52" s="446"/>
      <c r="T52" s="290"/>
      <c r="U52" s="1263" t="str">
        <f>INDEX(PT_DIFFERENTIATION_NUM_IST_TE,MATCH(D52,PT_DIFFERENTIATION_IST_TE_ID,0))</f>
        <v>1.1.1.1</v>
      </c>
      <c r="V52" s="248" t="s">
        <v>408</v>
      </c>
      <c r="W52" s="238"/>
      <c r="X52" s="2462"/>
      <c r="Y52" s="2463"/>
      <c r="Z52" s="2463"/>
      <c r="AA52" s="2463"/>
      <c r="AB52" s="2463"/>
      <c r="AC52" s="2463"/>
      <c r="AD52" s="2463"/>
      <c r="AE52" s="2463"/>
      <c r="AF52" s="2464"/>
      <c r="AG52" s="2462" t="str">
        <f>INDEX(PT_DIFFERENTIATION_IST_TE,MATCH(D52,PT_DIFFERENTIATION_IST_TE_ID,0))</f>
        <v>без дифференциации</v>
      </c>
      <c r="AH52" s="2463"/>
      <c r="AI52" s="2463"/>
      <c r="AJ52" s="2463"/>
      <c r="AK52" s="2463"/>
      <c r="AL52" s="2463"/>
      <c r="AM52" s="2463"/>
      <c r="AN52" s="2463"/>
      <c r="AO52" s="2463"/>
      <c r="AP52" s="2462"/>
      <c r="AQ52" s="2463"/>
      <c r="AR52" s="2463"/>
      <c r="AS52" s="2463"/>
      <c r="AT52" s="2463"/>
      <c r="AU52" s="2463"/>
      <c r="AV52" s="2463"/>
      <c r="AW52" s="2463"/>
      <c r="AX52" s="2496"/>
      <c r="AY52" s="2464"/>
      <c r="AZ52" s="1185" t="s">
        <v>409</v>
      </c>
      <c r="BB52" s="437"/>
      <c r="BC52" s="437" t="str">
        <f t="shared" si="2"/>
        <v xml:space="preserve">Источник тепловой энергии  </v>
      </c>
      <c r="BD52" s="437"/>
      <c r="BE52" s="437"/>
      <c r="BF52" s="1082">
        <v>21</v>
      </c>
    </row>
    <row r="53" spans="1:58" s="1569" customFormat="1" ht="0" hidden="1" customHeight="1">
      <c r="A53" s="1302" t="s">
        <v>183</v>
      </c>
      <c r="B53" s="1302" t="s">
        <v>184</v>
      </c>
      <c r="C53" s="1302" t="s">
        <v>185</v>
      </c>
      <c r="D53" s="1302" t="s">
        <v>186</v>
      </c>
      <c r="E53" s="2505"/>
      <c r="F53" s="2505"/>
      <c r="G53" s="2505"/>
      <c r="H53" s="2505"/>
      <c r="I53" s="2332" t="str">
        <f>U52&amp;".1"</f>
        <v>1.1.1.1.1</v>
      </c>
      <c r="J53" s="1302"/>
      <c r="K53" s="1302"/>
      <c r="L53" s="1302"/>
      <c r="M53" s="1308" t="s">
        <v>410</v>
      </c>
      <c r="N53" s="1173"/>
      <c r="O53" s="1173"/>
      <c r="P53" s="1173"/>
      <c r="Q53" s="2472">
        <v>1</v>
      </c>
      <c r="R53" s="1258"/>
      <c r="S53" s="1258"/>
      <c r="T53" s="293"/>
      <c r="U53" s="972"/>
      <c r="V53" s="1310"/>
      <c r="W53" s="1311"/>
      <c r="X53" s="2509"/>
      <c r="Y53" s="2510"/>
      <c r="Z53" s="2510"/>
      <c r="AA53" s="2510"/>
      <c r="AB53" s="2510"/>
      <c r="AC53" s="2510"/>
      <c r="AD53" s="2510"/>
      <c r="AE53" s="2510"/>
      <c r="AF53" s="2511"/>
      <c r="AG53" s="2509"/>
      <c r="AH53" s="2510"/>
      <c r="AI53" s="2510"/>
      <c r="AJ53" s="2510"/>
      <c r="AK53" s="2510"/>
      <c r="AL53" s="2510"/>
      <c r="AM53" s="2510"/>
      <c r="AN53" s="2510"/>
      <c r="AO53" s="2510"/>
      <c r="AP53" s="2509"/>
      <c r="AQ53" s="2510"/>
      <c r="AR53" s="2510"/>
      <c r="AS53" s="2510"/>
      <c r="AT53" s="2510"/>
      <c r="AU53" s="2510"/>
      <c r="AV53" s="2510"/>
      <c r="AW53" s="2510"/>
      <c r="AX53" s="2522"/>
      <c r="AY53" s="2511"/>
      <c r="AZ53" s="1312"/>
      <c r="BB53" s="437"/>
      <c r="BC53" s="437" t="str">
        <f t="shared" si="2"/>
        <v/>
      </c>
      <c r="BD53" s="437"/>
      <c r="BE53" s="437"/>
      <c r="BF53" s="448">
        <v>0</v>
      </c>
    </row>
    <row r="54" spans="1:58" ht="21.95" customHeight="1">
      <c r="A54" s="1194" t="s">
        <v>183</v>
      </c>
      <c r="B54" s="1194" t="s">
        <v>184</v>
      </c>
      <c r="C54" s="1194" t="s">
        <v>185</v>
      </c>
      <c r="D54" s="1194" t="s">
        <v>186</v>
      </c>
      <c r="E54" s="2505"/>
      <c r="F54" s="2505"/>
      <c r="G54" s="2505"/>
      <c r="H54" s="2505"/>
      <c r="I54" s="2314"/>
      <c r="J54" s="2332" t="str">
        <f>I53&amp;".1"</f>
        <v>1.1.1.1.1.1</v>
      </c>
      <c r="K54" s="1194"/>
      <c r="L54" s="1194"/>
      <c r="M54" s="1237" t="s">
        <v>413</v>
      </c>
      <c r="Q54" s="2472"/>
      <c r="R54" s="2472">
        <v>1</v>
      </c>
      <c r="S54" s="455"/>
      <c r="T54" s="294"/>
      <c r="U54" s="1263" t="str">
        <f>$J54</f>
        <v>1.1.1.1.1.1</v>
      </c>
      <c r="V54" s="224" t="s">
        <v>414</v>
      </c>
      <c r="W54" s="238"/>
      <c r="X54" s="2456"/>
      <c r="Y54" s="2457"/>
      <c r="Z54" s="2457"/>
      <c r="AA54" s="2457"/>
      <c r="AB54" s="2457"/>
      <c r="AC54" s="2452"/>
      <c r="AD54" s="2452"/>
      <c r="AE54" s="2452"/>
      <c r="AF54" s="2523"/>
      <c r="AG54" s="2456" t="s">
        <v>455</v>
      </c>
      <c r="AH54" s="2457"/>
      <c r="AI54" s="2457"/>
      <c r="AJ54" s="2457"/>
      <c r="AK54" s="2457"/>
      <c r="AL54" s="2457"/>
      <c r="AM54" s="2457"/>
      <c r="AN54" s="2457"/>
      <c r="AO54" s="2457"/>
      <c r="AP54" s="2456"/>
      <c r="AQ54" s="2457"/>
      <c r="AR54" s="2457"/>
      <c r="AS54" s="2457"/>
      <c r="AT54" s="2457"/>
      <c r="AU54" s="2452"/>
      <c r="AV54" s="2452"/>
      <c r="AW54" s="2452"/>
      <c r="AX54" s="2524"/>
      <c r="AY54" s="2458"/>
      <c r="AZ54" s="1185" t="s">
        <v>415</v>
      </c>
      <c r="BB54" s="437"/>
      <c r="BC54" s="437" t="str">
        <f t="shared" si="2"/>
        <v>Группа потребителей</v>
      </c>
      <c r="BD54" s="437"/>
      <c r="BE54" s="437"/>
      <c r="BF54" s="1082">
        <v>21</v>
      </c>
    </row>
    <row r="55" spans="1:58" ht="21.95" customHeight="1">
      <c r="A55" s="1194" t="s">
        <v>183</v>
      </c>
      <c r="B55" s="1194" t="s">
        <v>184</v>
      </c>
      <c r="C55" s="1194" t="s">
        <v>185</v>
      </c>
      <c r="D55" s="1194" t="s">
        <v>186</v>
      </c>
      <c r="E55" s="2505"/>
      <c r="F55" s="2505"/>
      <c r="G55" s="2505"/>
      <c r="H55" s="2505"/>
      <c r="I55" s="2314"/>
      <c r="J55" s="2314"/>
      <c r="K55" s="2332" t="str">
        <f>J54&amp;".1"</f>
        <v>1.1.1.1.1.1.1</v>
      </c>
      <c r="L55" s="78"/>
      <c r="M55" s="1237" t="s">
        <v>416</v>
      </c>
      <c r="Q55" s="2472"/>
      <c r="R55" s="2472"/>
      <c r="S55" s="455">
        <v>1</v>
      </c>
      <c r="T55" s="294"/>
      <c r="U55" s="1263" t="str">
        <f>$K55</f>
        <v>1.1.1.1.1.1.1</v>
      </c>
      <c r="V55" s="1274" t="s">
        <v>472</v>
      </c>
      <c r="W55" s="238"/>
      <c r="X55" s="688"/>
      <c r="Y55" s="688"/>
      <c r="Z55" s="688"/>
      <c r="AA55" s="688"/>
      <c r="AB55" s="1332"/>
      <c r="AC55" s="2473"/>
      <c r="AD55" s="2342" t="s">
        <v>67</v>
      </c>
      <c r="AE55" s="2473"/>
      <c r="AF55" s="2342" t="s">
        <v>67</v>
      </c>
      <c r="AG55" s="1334"/>
      <c r="AH55" s="688">
        <v>26.86</v>
      </c>
      <c r="AI55" s="688">
        <v>922.51</v>
      </c>
      <c r="AJ55" s="688"/>
      <c r="AK55" s="1184"/>
      <c r="AL55" s="2473">
        <v>46023</v>
      </c>
      <c r="AM55" s="2342" t="s">
        <v>67</v>
      </c>
      <c r="AN55" s="2473">
        <v>46203</v>
      </c>
      <c r="AO55" s="2342" t="s">
        <v>67</v>
      </c>
      <c r="AP55" s="688"/>
      <c r="AQ55" s="688">
        <v>28.22</v>
      </c>
      <c r="AR55" s="688">
        <v>1049.6199999999999</v>
      </c>
      <c r="AS55" s="688"/>
      <c r="AT55" s="1332"/>
      <c r="AU55" s="2473">
        <v>46023</v>
      </c>
      <c r="AV55" s="2342" t="s">
        <v>67</v>
      </c>
      <c r="AW55" s="2473">
        <v>46387</v>
      </c>
      <c r="AX55" s="2342" t="s">
        <v>67</v>
      </c>
      <c r="AY55" s="1275"/>
      <c r="AZ55" s="1234" t="s">
        <v>460</v>
      </c>
      <c r="BA55" s="448" t="e">
        <f ca="1">STRCHECKDATE(X57:AY57)</f>
        <v>#NAME?</v>
      </c>
      <c r="BB55" s="437"/>
      <c r="BC55" s="437" t="str">
        <f t="shared" si="2"/>
        <v>горячая вода в системе централизованного теплоснабжения на горячее водоснабжение</v>
      </c>
      <c r="BD55" s="437"/>
      <c r="BE55" s="437"/>
      <c r="BF55" s="1082">
        <v>21</v>
      </c>
    </row>
    <row r="56" spans="1:58" ht="11.45" customHeight="1">
      <c r="A56" s="1194" t="s">
        <v>183</v>
      </c>
      <c r="B56" s="1194" t="s">
        <v>184</v>
      </c>
      <c r="C56" s="1194" t="s">
        <v>185</v>
      </c>
      <c r="D56" s="1194" t="s">
        <v>186</v>
      </c>
      <c r="E56" s="2505"/>
      <c r="F56" s="2505"/>
      <c r="G56" s="2505"/>
      <c r="H56" s="2505"/>
      <c r="I56" s="2314"/>
      <c r="J56" s="2314"/>
      <c r="K56" s="2314"/>
      <c r="L56" s="2332" t="str">
        <f>K55&amp;".1"</f>
        <v>1.1.1.1.1.1.1.1</v>
      </c>
      <c r="M56" s="1237"/>
      <c r="Q56" s="2472"/>
      <c r="R56" s="2472"/>
      <c r="S56" s="455">
        <v>1</v>
      </c>
      <c r="T56" s="294"/>
      <c r="U56" s="1263" t="str">
        <f>$L56</f>
        <v>1.1.1.1.1.1.1.1</v>
      </c>
      <c r="V56" s="1318"/>
      <c r="W56" s="238"/>
      <c r="X56" s="263"/>
      <c r="Y56" s="688"/>
      <c r="Z56" s="688"/>
      <c r="AA56" s="688"/>
      <c r="AB56" s="1332"/>
      <c r="AC56" s="2474"/>
      <c r="AD56" s="2342"/>
      <c r="AE56" s="2474"/>
      <c r="AF56" s="2342"/>
      <c r="AG56" s="1334"/>
      <c r="AH56" s="688"/>
      <c r="AI56" s="688"/>
      <c r="AJ56" s="688"/>
      <c r="AK56" s="1184"/>
      <c r="AL56" s="2474"/>
      <c r="AM56" s="2342"/>
      <c r="AN56" s="2474"/>
      <c r="AO56" s="2342"/>
      <c r="AP56" s="263"/>
      <c r="AQ56" s="688"/>
      <c r="AR56" s="688"/>
      <c r="AS56" s="688"/>
      <c r="AT56" s="1332"/>
      <c r="AU56" s="2474"/>
      <c r="AV56" s="2342"/>
      <c r="AW56" s="2474"/>
      <c r="AX56" s="2342"/>
      <c r="AY56" s="1275"/>
      <c r="AZ56" s="2491" t="s">
        <v>461</v>
      </c>
      <c r="BA56" s="448" t="e">
        <f ca="1">STRCHECKDATE(X58:AY58)</f>
        <v>#NAME?</v>
      </c>
      <c r="BB56" s="437"/>
      <c r="BC56" s="437" t="str">
        <f t="shared" si="2"/>
        <v/>
      </c>
      <c r="BD56" s="437"/>
      <c r="BE56" s="437"/>
      <c r="BF56" s="1082">
        <v>11</v>
      </c>
    </row>
    <row r="57" spans="1:58" ht="0" hidden="1" customHeight="1">
      <c r="A57" s="1194" t="s">
        <v>183</v>
      </c>
      <c r="B57" s="1194" t="s">
        <v>184</v>
      </c>
      <c r="C57" s="1194" t="s">
        <v>185</v>
      </c>
      <c r="D57" s="1194" t="s">
        <v>186</v>
      </c>
      <c r="E57" s="2505"/>
      <c r="F57" s="2505"/>
      <c r="G57" s="2505"/>
      <c r="H57" s="2505"/>
      <c r="I57" s="2314"/>
      <c r="J57" s="2314"/>
      <c r="K57" s="2314"/>
      <c r="L57" s="2332"/>
      <c r="M57" s="1237"/>
      <c r="Q57" s="2472"/>
      <c r="R57" s="2472"/>
      <c r="S57" s="2525"/>
      <c r="T57" s="294"/>
      <c r="U57" s="1269"/>
      <c r="V57" s="238"/>
      <c r="W57" s="238"/>
      <c r="X57" s="263"/>
      <c r="Y57" s="263"/>
      <c r="Z57" s="263"/>
      <c r="AA57" s="263"/>
      <c r="AB57" s="1333" t="str">
        <f>AC55&amp;"-"&amp;AE55</f>
        <v>-</v>
      </c>
      <c r="AC57" s="2474"/>
      <c r="AD57" s="2342"/>
      <c r="AE57" s="2474"/>
      <c r="AF57" s="2342"/>
      <c r="AG57" s="1309"/>
      <c r="AH57" s="263"/>
      <c r="AI57" s="263"/>
      <c r="AJ57" s="263"/>
      <c r="AK57" s="266" t="str">
        <f>AL55&amp;"-"&amp;AN55</f>
        <v>46023-46203</v>
      </c>
      <c r="AL57" s="2474"/>
      <c r="AM57" s="2342"/>
      <c r="AN57" s="2474"/>
      <c r="AO57" s="2342"/>
      <c r="AP57" s="263"/>
      <c r="AQ57" s="263"/>
      <c r="AR57" s="263"/>
      <c r="AS57" s="263"/>
      <c r="AT57" s="1333" t="str">
        <f>AU55&amp;"-"&amp;AW55</f>
        <v>46023-46387</v>
      </c>
      <c r="AU57" s="2474"/>
      <c r="AV57" s="2342"/>
      <c r="AW57" s="2474"/>
      <c r="AX57" s="2342"/>
      <c r="AY57" s="1276"/>
      <c r="AZ57" s="2492"/>
      <c r="BB57" s="437"/>
      <c r="BC57" s="437" t="str">
        <f t="shared" si="2"/>
        <v/>
      </c>
      <c r="BD57" s="437"/>
      <c r="BE57" s="437"/>
      <c r="BF57" s="1082">
        <v>0</v>
      </c>
    </row>
    <row r="58" spans="1:58" ht="11.45" customHeight="1">
      <c r="A58" s="1194" t="s">
        <v>183</v>
      </c>
      <c r="B58" s="1194" t="s">
        <v>184</v>
      </c>
      <c r="C58" s="1194" t="s">
        <v>185</v>
      </c>
      <c r="D58" s="1194" t="s">
        <v>186</v>
      </c>
      <c r="E58" s="2505"/>
      <c r="F58" s="2505"/>
      <c r="G58" s="2505"/>
      <c r="H58" s="2505"/>
      <c r="I58" s="2314"/>
      <c r="J58" s="2314"/>
      <c r="K58" s="2332"/>
      <c r="L58" s="1194"/>
      <c r="M58" s="1237"/>
      <c r="Q58" s="2472"/>
      <c r="R58" s="2472"/>
      <c r="S58" s="2472"/>
      <c r="T58" s="293"/>
      <c r="U58" s="1205"/>
      <c r="V58" s="226" t="s">
        <v>462</v>
      </c>
      <c r="W58" s="304"/>
      <c r="X58" s="304"/>
      <c r="Y58" s="304"/>
      <c r="Z58" s="304"/>
      <c r="AA58" s="304"/>
      <c r="AB58" s="304"/>
      <c r="AC58" s="2474"/>
      <c r="AD58" s="2342"/>
      <c r="AE58" s="2474"/>
      <c r="AF58" s="2342"/>
      <c r="AG58" s="304"/>
      <c r="AH58" s="304"/>
      <c r="AI58" s="304"/>
      <c r="AJ58" s="304"/>
      <c r="AK58" s="304"/>
      <c r="AL58" s="2474"/>
      <c r="AM58" s="2342"/>
      <c r="AN58" s="2474"/>
      <c r="AO58" s="2342"/>
      <c r="AP58" s="2201"/>
      <c r="AQ58" s="2202"/>
      <c r="AR58" s="2203"/>
      <c r="AS58" s="2204"/>
      <c r="AT58" s="2205"/>
      <c r="AU58" s="2474"/>
      <c r="AV58" s="2342"/>
      <c r="AW58" s="2474"/>
      <c r="AX58" s="2342"/>
      <c r="AY58" s="262"/>
      <c r="AZ58" s="2492"/>
      <c r="BB58" s="437"/>
      <c r="BC58" s="437" t="str">
        <f t="shared" si="2"/>
        <v>Добавить наименование поставщика</v>
      </c>
      <c r="BD58" s="437"/>
      <c r="BE58" s="437"/>
      <c r="BF58" s="1082">
        <v>11</v>
      </c>
    </row>
    <row r="59" spans="1:58" ht="11.45" customHeight="1">
      <c r="A59" s="1194" t="s">
        <v>183</v>
      </c>
      <c r="B59" s="1194" t="s">
        <v>184</v>
      </c>
      <c r="C59" s="1194" t="s">
        <v>185</v>
      </c>
      <c r="D59" s="1194" t="s">
        <v>186</v>
      </c>
      <c r="E59" s="2505"/>
      <c r="F59" s="2505"/>
      <c r="G59" s="2505"/>
      <c r="H59" s="2505"/>
      <c r="I59" s="2314"/>
      <c r="J59" s="2332"/>
      <c r="K59" s="1194"/>
      <c r="L59" s="1194"/>
      <c r="M59" s="1237"/>
      <c r="Q59" s="2472"/>
      <c r="R59" s="2472"/>
      <c r="S59" s="1258"/>
      <c r="T59" s="293"/>
      <c r="U59" s="1205"/>
      <c r="V59" s="225" t="s">
        <v>418</v>
      </c>
      <c r="W59" s="304"/>
      <c r="X59" s="304"/>
      <c r="Y59" s="304"/>
      <c r="Z59" s="304"/>
      <c r="AA59" s="304"/>
      <c r="AB59" s="304"/>
      <c r="AC59" s="1335"/>
      <c r="AD59" s="1335"/>
      <c r="AE59" s="1335"/>
      <c r="AF59" s="1335"/>
      <c r="AG59" s="304"/>
      <c r="AH59" s="304"/>
      <c r="AI59" s="304"/>
      <c r="AJ59" s="304"/>
      <c r="AK59" s="304"/>
      <c r="AL59" s="304"/>
      <c r="AM59" s="304"/>
      <c r="AN59" s="304"/>
      <c r="AO59" s="304"/>
      <c r="AP59" s="2206"/>
      <c r="AQ59" s="2207"/>
      <c r="AR59" s="2208"/>
      <c r="AS59" s="2209"/>
      <c r="AT59" s="2210"/>
      <c r="AU59" s="2211"/>
      <c r="AV59" s="2212"/>
      <c r="AW59" s="2213"/>
      <c r="AX59" s="2293"/>
      <c r="AY59" s="262"/>
      <c r="AZ59" s="2493"/>
      <c r="BB59" s="437"/>
      <c r="BC59" s="437" t="str">
        <f t="shared" si="2"/>
        <v>Добавить вид теплоносителя (параметры теплоносителя)</v>
      </c>
      <c r="BD59" s="437"/>
      <c r="BE59" s="437"/>
      <c r="BF59" s="1082">
        <v>11</v>
      </c>
    </row>
    <row r="60" spans="1:58" s="1775" customFormat="1" ht="21" customHeight="1">
      <c r="A60" s="1896"/>
      <c r="B60" s="1896"/>
      <c r="C60" s="1896"/>
      <c r="D60" s="1896"/>
      <c r="E60" s="2505"/>
      <c r="F60" s="2505"/>
      <c r="G60" s="2505"/>
      <c r="H60" s="2505"/>
      <c r="I60" s="2314"/>
      <c r="J60" s="2332" t="str">
        <f>I53&amp;".2"</f>
        <v>1.1.1.1.1.2</v>
      </c>
      <c r="K60" s="1896"/>
      <c r="L60" s="1896"/>
      <c r="M60" s="2002" t="s">
        <v>413</v>
      </c>
      <c r="N60" s="1562"/>
      <c r="O60" s="1562"/>
      <c r="P60" s="2008"/>
      <c r="Q60" s="2472"/>
      <c r="R60" s="2503" t="s">
        <v>452</v>
      </c>
      <c r="S60" s="1569"/>
      <c r="T60" s="294"/>
      <c r="U60" s="2006" t="str">
        <f>$J60</f>
        <v>1.1.1.1.1.2</v>
      </c>
      <c r="V60" s="224" t="s">
        <v>414</v>
      </c>
      <c r="W60" s="238"/>
      <c r="X60" s="2456"/>
      <c r="Y60" s="2457"/>
      <c r="Z60" s="2457"/>
      <c r="AA60" s="2457"/>
      <c r="AB60" s="2457"/>
      <c r="AC60" s="2452"/>
      <c r="AD60" s="2452"/>
      <c r="AE60" s="2452"/>
      <c r="AF60" s="2523"/>
      <c r="AG60" s="2456" t="s">
        <v>457</v>
      </c>
      <c r="AH60" s="2457"/>
      <c r="AI60" s="2457"/>
      <c r="AJ60" s="2457"/>
      <c r="AK60" s="2457"/>
      <c r="AL60" s="2457"/>
      <c r="AM60" s="2457"/>
      <c r="AN60" s="2457"/>
      <c r="AO60" s="2457"/>
      <c r="AP60" s="2456"/>
      <c r="AQ60" s="2457"/>
      <c r="AR60" s="2457"/>
      <c r="AS60" s="2457"/>
      <c r="AT60" s="2457"/>
      <c r="AU60" s="2452"/>
      <c r="AV60" s="2452"/>
      <c r="AW60" s="2452"/>
      <c r="AX60" s="2524"/>
      <c r="AY60" s="2458"/>
      <c r="AZ60" s="1185" t="s">
        <v>415</v>
      </c>
      <c r="BA60" s="1569"/>
      <c r="BB60" s="1551"/>
      <c r="BC60" s="1551" t="str">
        <f t="shared" si="2"/>
        <v>Группа потребителей</v>
      </c>
      <c r="BD60" s="1551"/>
      <c r="BE60" s="1551"/>
      <c r="BF60" s="1562">
        <v>0</v>
      </c>
    </row>
    <row r="61" spans="1:58" s="1775" customFormat="1" ht="21" customHeight="1">
      <c r="A61" s="1896"/>
      <c r="B61" s="1896"/>
      <c r="C61" s="1896"/>
      <c r="D61" s="1896"/>
      <c r="E61" s="2505"/>
      <c r="F61" s="2505"/>
      <c r="G61" s="2505"/>
      <c r="H61" s="2505"/>
      <c r="I61" s="2314"/>
      <c r="J61" s="2314" t="str">
        <f>I53&amp;".1"</f>
        <v>1.1.1.1.1.1</v>
      </c>
      <c r="K61" s="2332" t="str">
        <f>J60&amp;".1"</f>
        <v>1.1.1.1.1.2.1</v>
      </c>
      <c r="L61" s="2000"/>
      <c r="M61" s="2002" t="s">
        <v>416</v>
      </c>
      <c r="N61" s="1562"/>
      <c r="O61" s="1562"/>
      <c r="P61" s="1562"/>
      <c r="Q61" s="2472"/>
      <c r="R61" s="2472"/>
      <c r="S61" s="2472">
        <v>1</v>
      </c>
      <c r="T61" s="294"/>
      <c r="U61" s="2006" t="str">
        <f>$K61</f>
        <v>1.1.1.1.1.2.1</v>
      </c>
      <c r="V61" s="1274" t="s">
        <v>472</v>
      </c>
      <c r="W61" s="238"/>
      <c r="X61" s="688"/>
      <c r="Y61" s="688"/>
      <c r="Z61" s="688"/>
      <c r="AA61" s="688"/>
      <c r="AB61" s="1332"/>
      <c r="AC61" s="2473"/>
      <c r="AD61" s="2342" t="s">
        <v>67</v>
      </c>
      <c r="AE61" s="2473"/>
      <c r="AF61" s="2342" t="s">
        <v>67</v>
      </c>
      <c r="AG61" s="1334"/>
      <c r="AH61" s="688">
        <v>22.38</v>
      </c>
      <c r="AI61" s="688">
        <v>768.76</v>
      </c>
      <c r="AJ61" s="688"/>
      <c r="AK61" s="1184"/>
      <c r="AL61" s="2473">
        <v>46023</v>
      </c>
      <c r="AM61" s="2342" t="s">
        <v>67</v>
      </c>
      <c r="AN61" s="2473">
        <v>46203</v>
      </c>
      <c r="AO61" s="2342" t="s">
        <v>67</v>
      </c>
      <c r="AP61" s="688"/>
      <c r="AQ61" s="688"/>
      <c r="AR61" s="688"/>
      <c r="AS61" s="688"/>
      <c r="AT61" s="1332"/>
      <c r="AU61" s="2473">
        <v>46023</v>
      </c>
      <c r="AV61" s="2342" t="s">
        <v>67</v>
      </c>
      <c r="AW61" s="2473">
        <v>46387</v>
      </c>
      <c r="AX61" s="2342" t="s">
        <v>67</v>
      </c>
      <c r="AY61" s="263"/>
      <c r="AZ61" s="1234" t="s">
        <v>460</v>
      </c>
      <c r="BA61" s="1569" t="e">
        <f ca="1">STRCHECKDATE(X63:AY63)</f>
        <v>#NAME?</v>
      </c>
      <c r="BB61" s="1551"/>
      <c r="BC61" s="1551" t="str">
        <f t="shared" si="2"/>
        <v>горячая вода в системе централизованного теплоснабжения на горячее водоснабжение</v>
      </c>
      <c r="BD61" s="1551"/>
      <c r="BE61" s="1551"/>
      <c r="BF61" s="1562">
        <v>0</v>
      </c>
    </row>
    <row r="62" spans="1:58" s="1775" customFormat="1" ht="21" customHeight="1">
      <c r="A62" s="1896"/>
      <c r="B62" s="1896"/>
      <c r="C62" s="1896"/>
      <c r="D62" s="1896"/>
      <c r="E62" s="2505"/>
      <c r="F62" s="2505"/>
      <c r="G62" s="2505"/>
      <c r="H62" s="2505"/>
      <c r="I62" s="2314"/>
      <c r="J62" s="2314" t="str">
        <f>I53&amp;".1"</f>
        <v>1.1.1.1.1.1</v>
      </c>
      <c r="K62" s="2314"/>
      <c r="L62" s="2332" t="str">
        <f>K61&amp;".1"</f>
        <v>1.1.1.1.1.2.1.1</v>
      </c>
      <c r="M62" s="2002"/>
      <c r="N62" s="1562"/>
      <c r="O62" s="1562"/>
      <c r="P62" s="1562"/>
      <c r="Q62" s="2472"/>
      <c r="R62" s="2472"/>
      <c r="S62" s="2472"/>
      <c r="T62" s="294"/>
      <c r="U62" s="2006" t="str">
        <f>$L62</f>
        <v>1.1.1.1.1.2.1.1</v>
      </c>
      <c r="V62" s="1318"/>
      <c r="W62" s="238"/>
      <c r="X62" s="263"/>
      <c r="Y62" s="688"/>
      <c r="Z62" s="688"/>
      <c r="AA62" s="688"/>
      <c r="AB62" s="1332"/>
      <c r="AC62" s="2474"/>
      <c r="AD62" s="2342"/>
      <c r="AE62" s="2474"/>
      <c r="AF62" s="2342"/>
      <c r="AG62" s="1334"/>
      <c r="AH62" s="688"/>
      <c r="AI62" s="688"/>
      <c r="AJ62" s="688"/>
      <c r="AK62" s="1184"/>
      <c r="AL62" s="2474"/>
      <c r="AM62" s="2342"/>
      <c r="AN62" s="2474"/>
      <c r="AO62" s="2342"/>
      <c r="AP62" s="263"/>
      <c r="AQ62" s="688">
        <v>23.52</v>
      </c>
      <c r="AR62" s="688">
        <v>874.68</v>
      </c>
      <c r="AS62" s="688"/>
      <c r="AT62" s="1332"/>
      <c r="AU62" s="2474"/>
      <c r="AV62" s="2342"/>
      <c r="AW62" s="2474"/>
      <c r="AX62" s="2342"/>
      <c r="AY62" s="263"/>
      <c r="AZ62" s="2491" t="s">
        <v>461</v>
      </c>
      <c r="BA62" s="1569"/>
      <c r="BB62" s="1551"/>
      <c r="BC62" s="1551"/>
      <c r="BD62" s="1551"/>
      <c r="BE62" s="1551"/>
      <c r="BF62" s="1562">
        <v>0</v>
      </c>
    </row>
    <row r="63" spans="1:58" s="1775" customFormat="1" ht="14.25" customHeight="1">
      <c r="A63" s="1896"/>
      <c r="B63" s="1896"/>
      <c r="C63" s="1896"/>
      <c r="D63" s="1896"/>
      <c r="E63" s="2505"/>
      <c r="F63" s="2505"/>
      <c r="G63" s="2505"/>
      <c r="H63" s="2505"/>
      <c r="I63" s="2314"/>
      <c r="J63" s="2314" t="str">
        <f>I53&amp;".1"</f>
        <v>1.1.1.1.1.1</v>
      </c>
      <c r="K63" s="2314"/>
      <c r="L63" s="2332"/>
      <c r="M63" s="2002"/>
      <c r="N63" s="1562"/>
      <c r="O63" s="1562"/>
      <c r="P63" s="1562"/>
      <c r="Q63" s="2472"/>
      <c r="R63" s="2472"/>
      <c r="S63" s="2472"/>
      <c r="T63" s="294"/>
      <c r="U63" s="2011"/>
      <c r="V63" s="238"/>
      <c r="W63" s="238"/>
      <c r="X63" s="263"/>
      <c r="Y63" s="263"/>
      <c r="Z63" s="263"/>
      <c r="AA63" s="263"/>
      <c r="AB63" s="1333" t="str">
        <f>AC61&amp;"-"&amp;AE61</f>
        <v>-</v>
      </c>
      <c r="AC63" s="2474"/>
      <c r="AD63" s="2342"/>
      <c r="AE63" s="2474"/>
      <c r="AF63" s="2342"/>
      <c r="AG63" s="1309"/>
      <c r="AH63" s="263"/>
      <c r="AI63" s="263"/>
      <c r="AJ63" s="263"/>
      <c r="AK63" s="266" t="str">
        <f>AL61&amp;"-"&amp;AN61</f>
        <v>46023-46203</v>
      </c>
      <c r="AL63" s="2474"/>
      <c r="AM63" s="2342"/>
      <c r="AN63" s="2474"/>
      <c r="AO63" s="2342"/>
      <c r="AP63" s="263"/>
      <c r="AQ63" s="263"/>
      <c r="AR63" s="263"/>
      <c r="AS63" s="263"/>
      <c r="AT63" s="1333" t="str">
        <f>AU61&amp;"-"&amp;AW61</f>
        <v>46023-46387</v>
      </c>
      <c r="AU63" s="2474"/>
      <c r="AV63" s="2342"/>
      <c r="AW63" s="2474"/>
      <c r="AX63" s="2342"/>
      <c r="AY63" s="263"/>
      <c r="AZ63" s="2492"/>
      <c r="BA63" s="1569"/>
      <c r="BB63" s="1551"/>
      <c r="BC63" s="1551" t="str">
        <f>IF(V63="","",V63)</f>
        <v/>
      </c>
      <c r="BD63" s="1551"/>
      <c r="BE63" s="1551"/>
      <c r="BF63" s="1562">
        <v>0</v>
      </c>
    </row>
    <row r="64" spans="1:58" s="1775" customFormat="1" ht="11.25" customHeight="1">
      <c r="A64" s="1896"/>
      <c r="B64" s="1896"/>
      <c r="C64" s="1896"/>
      <c r="D64" s="1896"/>
      <c r="E64" s="2505"/>
      <c r="F64" s="2505"/>
      <c r="G64" s="2505"/>
      <c r="H64" s="2505"/>
      <c r="I64" s="2314"/>
      <c r="J64" s="2314" t="str">
        <f>I53&amp;".1"</f>
        <v>1.1.1.1.1.1</v>
      </c>
      <c r="K64" s="2332"/>
      <c r="L64" s="1896"/>
      <c r="M64" s="2002"/>
      <c r="N64" s="1562"/>
      <c r="O64" s="1562"/>
      <c r="P64" s="1562"/>
      <c r="Q64" s="2472"/>
      <c r="R64" s="2472"/>
      <c r="S64" s="2472"/>
      <c r="T64" s="294"/>
      <c r="U64" s="2214"/>
      <c r="V64" s="2215" t="s">
        <v>462</v>
      </c>
      <c r="W64" s="2216"/>
      <c r="X64" s="2217"/>
      <c r="Y64" s="2218"/>
      <c r="Z64" s="2219"/>
      <c r="AA64" s="2220"/>
      <c r="AB64" s="2221"/>
      <c r="AC64" s="2474"/>
      <c r="AD64" s="2342"/>
      <c r="AE64" s="2474"/>
      <c r="AF64" s="2342"/>
      <c r="AG64" s="2222"/>
      <c r="AH64" s="2223"/>
      <c r="AI64" s="2224"/>
      <c r="AJ64" s="2225"/>
      <c r="AK64" s="2226"/>
      <c r="AL64" s="2474"/>
      <c r="AM64" s="2342"/>
      <c r="AN64" s="2474"/>
      <c r="AO64" s="2342"/>
      <c r="AP64" s="2227"/>
      <c r="AQ64" s="2228"/>
      <c r="AR64" s="2229"/>
      <c r="AS64" s="2230"/>
      <c r="AT64" s="2231"/>
      <c r="AU64" s="2474"/>
      <c r="AV64" s="2342"/>
      <c r="AW64" s="2474"/>
      <c r="AX64" s="2342"/>
      <c r="AY64" s="2232"/>
      <c r="AZ64" s="2492"/>
      <c r="BA64" s="1569"/>
      <c r="BB64" s="1551"/>
      <c r="BC64" s="1551"/>
      <c r="BD64" s="1551"/>
      <c r="BE64" s="1551"/>
      <c r="BF64" s="1562">
        <v>0</v>
      </c>
    </row>
    <row r="65" spans="1:58" s="1775" customFormat="1" ht="15" customHeight="1">
      <c r="A65" s="1896"/>
      <c r="B65" s="1896"/>
      <c r="C65" s="1896"/>
      <c r="D65" s="1896"/>
      <c r="E65" s="2505"/>
      <c r="F65" s="2505"/>
      <c r="G65" s="2505"/>
      <c r="H65" s="2505"/>
      <c r="I65" s="2314"/>
      <c r="J65" s="2332" t="str">
        <f>I53&amp;".1"</f>
        <v>1.1.1.1.1.1</v>
      </c>
      <c r="K65" s="1896"/>
      <c r="L65" s="1896"/>
      <c r="M65" s="2002"/>
      <c r="N65" s="1562"/>
      <c r="O65" s="1562"/>
      <c r="P65" s="2008"/>
      <c r="Q65" s="2472"/>
      <c r="R65" s="2472"/>
      <c r="S65" s="2007"/>
      <c r="T65" s="293"/>
      <c r="U65" s="2233"/>
      <c r="V65" s="2234" t="s">
        <v>418</v>
      </c>
      <c r="W65" s="2235"/>
      <c r="X65" s="2236"/>
      <c r="Y65" s="2237"/>
      <c r="Z65" s="2238"/>
      <c r="AA65" s="2239"/>
      <c r="AB65" s="2240"/>
      <c r="AC65" s="2241"/>
      <c r="AD65" s="2242"/>
      <c r="AE65" s="2243"/>
      <c r="AF65" s="2244"/>
      <c r="AG65" s="2245"/>
      <c r="AH65" s="2246"/>
      <c r="AI65" s="2247"/>
      <c r="AJ65" s="2248"/>
      <c r="AK65" s="2249"/>
      <c r="AL65" s="2250"/>
      <c r="AM65" s="2251"/>
      <c r="AN65" s="2252"/>
      <c r="AO65" s="2253"/>
      <c r="AP65" s="2254"/>
      <c r="AQ65" s="2255"/>
      <c r="AR65" s="2256"/>
      <c r="AS65" s="2257"/>
      <c r="AT65" s="2258"/>
      <c r="AU65" s="2259"/>
      <c r="AV65" s="2260"/>
      <c r="AW65" s="2261"/>
      <c r="AX65" s="2294"/>
      <c r="AY65" s="2262"/>
      <c r="AZ65" s="2493"/>
      <c r="BA65" s="1569"/>
      <c r="BB65" s="1551"/>
      <c r="BC65" s="1551" t="str">
        <f t="shared" ref="BC65:BC71" si="3">IF(V65="","",V65)</f>
        <v>Добавить вид теплоносителя (параметры теплоносителя)</v>
      </c>
      <c r="BD65" s="1551"/>
      <c r="BE65" s="1551"/>
      <c r="BF65" s="1562">
        <v>0</v>
      </c>
    </row>
    <row r="66" spans="1:58" ht="11.45" customHeight="1">
      <c r="A66" s="1194" t="s">
        <v>183</v>
      </c>
      <c r="B66" s="1194" t="s">
        <v>184</v>
      </c>
      <c r="C66" s="1194" t="s">
        <v>185</v>
      </c>
      <c r="D66" s="1194" t="s">
        <v>186</v>
      </c>
      <c r="E66" s="2505"/>
      <c r="F66" s="2505"/>
      <c r="G66" s="2505"/>
      <c r="H66" s="2505"/>
      <c r="I66" s="2332"/>
      <c r="J66" s="1194"/>
      <c r="K66" s="1194"/>
      <c r="L66" s="1194"/>
      <c r="M66" s="1237"/>
      <c r="Q66" s="2472"/>
      <c r="R66" s="1258"/>
      <c r="S66" s="1258"/>
      <c r="T66" s="293"/>
      <c r="U66" s="1205"/>
      <c r="V66" s="302" t="s">
        <v>419</v>
      </c>
      <c r="W66" s="304"/>
      <c r="X66" s="304"/>
      <c r="Y66" s="304"/>
      <c r="Z66" s="304"/>
      <c r="AA66" s="304"/>
      <c r="AB66" s="304"/>
      <c r="AC66" s="304"/>
      <c r="AD66" s="304"/>
      <c r="AE66" s="304"/>
      <c r="AF66" s="303"/>
      <c r="AG66" s="304"/>
      <c r="AH66" s="304"/>
      <c r="AI66" s="304"/>
      <c r="AJ66" s="304"/>
      <c r="AK66" s="304"/>
      <c r="AL66" s="304"/>
      <c r="AM66" s="304"/>
      <c r="AN66" s="304"/>
      <c r="AO66" s="303"/>
      <c r="AP66" s="2263"/>
      <c r="AQ66" s="2264"/>
      <c r="AR66" s="2265"/>
      <c r="AS66" s="2266"/>
      <c r="AT66" s="2267"/>
      <c r="AU66" s="2268"/>
      <c r="AV66" s="2269"/>
      <c r="AW66" s="2270"/>
      <c r="AX66" s="2295"/>
      <c r="AY66" s="304"/>
      <c r="AZ66" s="241"/>
      <c r="BB66" s="437"/>
      <c r="BC66" s="437" t="str">
        <f t="shared" si="3"/>
        <v>Добавить группу потребителей</v>
      </c>
      <c r="BD66" s="437"/>
      <c r="BE66" s="437"/>
      <c r="BF66" s="1082">
        <v>11</v>
      </c>
    </row>
    <row r="67" spans="1:58" ht="0" hidden="1" customHeight="1">
      <c r="A67" s="1194" t="s">
        <v>183</v>
      </c>
      <c r="B67" s="1194" t="s">
        <v>184</v>
      </c>
      <c r="C67" s="1194" t="s">
        <v>185</v>
      </c>
      <c r="D67" s="1194" t="s">
        <v>186</v>
      </c>
      <c r="E67" s="2505"/>
      <c r="F67" s="2505"/>
      <c r="G67" s="2505"/>
      <c r="H67" s="2504"/>
      <c r="I67" s="1194"/>
      <c r="J67" s="1194"/>
      <c r="K67" s="1194"/>
      <c r="L67" s="1194"/>
      <c r="M67" s="1237"/>
      <c r="N67" s="625"/>
      <c r="O67" s="625"/>
      <c r="P67" s="446"/>
      <c r="Q67" s="297"/>
      <c r="R67" s="312"/>
      <c r="S67" s="292"/>
      <c r="T67" s="297"/>
      <c r="U67" s="1313"/>
      <c r="V67" s="1314"/>
      <c r="W67" s="1315"/>
      <c r="X67" s="1315"/>
      <c r="Y67" s="1315"/>
      <c r="Z67" s="1315"/>
      <c r="AA67" s="1315"/>
      <c r="AB67" s="1315"/>
      <c r="AC67" s="1315"/>
      <c r="AD67" s="1315"/>
      <c r="AE67" s="1315"/>
      <c r="AF67" s="1315"/>
      <c r="AG67" s="1315"/>
      <c r="AH67" s="1315"/>
      <c r="AI67" s="1315"/>
      <c r="AJ67" s="1315"/>
      <c r="AK67" s="1315"/>
      <c r="AL67" s="1315"/>
      <c r="AM67" s="1315"/>
      <c r="AN67" s="1315"/>
      <c r="AO67" s="1315"/>
      <c r="AP67" s="1315"/>
      <c r="AQ67" s="1315"/>
      <c r="AR67" s="1315"/>
      <c r="AS67" s="1315"/>
      <c r="AT67" s="1315"/>
      <c r="AU67" s="1315"/>
      <c r="AV67" s="1315"/>
      <c r="AW67" s="1315"/>
      <c r="AX67" s="2292"/>
      <c r="AY67" s="1315"/>
      <c r="AZ67" s="1316"/>
      <c r="BB67" s="437"/>
      <c r="BC67" s="437" t="str">
        <f t="shared" si="3"/>
        <v/>
      </c>
      <c r="BD67" s="437"/>
      <c r="BE67" s="437"/>
      <c r="BF67" s="1082">
        <v>0</v>
      </c>
    </row>
    <row r="68" spans="1:58" s="1569" customFormat="1" ht="0" hidden="1" customHeight="1">
      <c r="A68" s="1302" t="s">
        <v>183</v>
      </c>
      <c r="B68" s="1302" t="s">
        <v>184</v>
      </c>
      <c r="C68" s="1302" t="s">
        <v>185</v>
      </c>
      <c r="D68" s="1301"/>
      <c r="E68" s="2505"/>
      <c r="F68" s="2505"/>
      <c r="G68" s="2504"/>
      <c r="H68" s="1301"/>
      <c r="I68" s="1301"/>
      <c r="J68" s="1301"/>
      <c r="K68" s="1301"/>
      <c r="L68" s="1301"/>
      <c r="M68" s="1304"/>
      <c r="N68" s="1305"/>
      <c r="O68" s="1305"/>
      <c r="P68" s="288"/>
      <c r="Q68" s="1243"/>
      <c r="R68" s="1244"/>
      <c r="S68" s="1243"/>
      <c r="T68" s="1243"/>
      <c r="U68" s="1249"/>
      <c r="V68" s="1252" t="s">
        <v>169</v>
      </c>
      <c r="W68" s="1251"/>
      <c r="X68" s="1251"/>
      <c r="Y68" s="1251"/>
      <c r="Z68" s="1251"/>
      <c r="AA68" s="1251"/>
      <c r="AB68" s="1251"/>
      <c r="AC68" s="1251"/>
      <c r="AD68" s="1251"/>
      <c r="AE68" s="1251"/>
      <c r="AF68" s="1251"/>
      <c r="AG68" s="1251"/>
      <c r="AH68" s="1251"/>
      <c r="AI68" s="1251"/>
      <c r="AJ68" s="1251"/>
      <c r="AK68" s="1251"/>
      <c r="AL68" s="1251"/>
      <c r="AM68" s="1251"/>
      <c r="AN68" s="1251"/>
      <c r="AO68" s="1251"/>
      <c r="AP68" s="1251"/>
      <c r="AQ68" s="1251"/>
      <c r="AR68" s="1251"/>
      <c r="AS68" s="1251"/>
      <c r="AT68" s="1251"/>
      <c r="AU68" s="1251"/>
      <c r="AV68" s="1251"/>
      <c r="AW68" s="1251"/>
      <c r="AX68" s="1251"/>
      <c r="AY68" s="1251"/>
      <c r="AZ68" s="1251"/>
      <c r="BB68" s="720"/>
      <c r="BC68" s="720" t="str">
        <f t="shared" si="3"/>
        <v>Добавить источник для дифференциации</v>
      </c>
      <c r="BD68" s="720"/>
      <c r="BE68" s="720"/>
      <c r="BF68" s="455">
        <v>0</v>
      </c>
    </row>
    <row r="69" spans="1:58" s="1569" customFormat="1" ht="0" hidden="1" customHeight="1">
      <c r="A69" s="1302" t="s">
        <v>183</v>
      </c>
      <c r="B69" s="1302" t="s">
        <v>184</v>
      </c>
      <c r="C69" s="1301"/>
      <c r="D69" s="1301"/>
      <c r="E69" s="2505"/>
      <c r="F69" s="2504"/>
      <c r="G69" s="1301"/>
      <c r="H69" s="1301"/>
      <c r="I69" s="1301"/>
      <c r="J69" s="1301"/>
      <c r="K69" s="1301"/>
      <c r="L69" s="1301"/>
      <c r="M69" s="1304"/>
      <c r="N69" s="1306"/>
      <c r="O69" s="1306"/>
      <c r="P69" s="288"/>
      <c r="Q69" s="1243"/>
      <c r="R69" s="1244"/>
      <c r="S69" s="1243"/>
      <c r="T69" s="1243"/>
      <c r="U69" s="1249"/>
      <c r="V69" s="1252" t="s">
        <v>170</v>
      </c>
      <c r="W69" s="1251"/>
      <c r="X69" s="1251"/>
      <c r="Y69" s="1251"/>
      <c r="Z69" s="1251"/>
      <c r="AA69" s="1251"/>
      <c r="AB69" s="1251"/>
      <c r="AC69" s="1251"/>
      <c r="AD69" s="1251"/>
      <c r="AE69" s="1251"/>
      <c r="AF69" s="1251"/>
      <c r="AG69" s="1251"/>
      <c r="AH69" s="1251"/>
      <c r="AI69" s="1251"/>
      <c r="AJ69" s="1251"/>
      <c r="AK69" s="1251"/>
      <c r="AL69" s="1251"/>
      <c r="AM69" s="1251"/>
      <c r="AN69" s="1251"/>
      <c r="AO69" s="1251"/>
      <c r="AP69" s="1251"/>
      <c r="AQ69" s="1251"/>
      <c r="AR69" s="1251"/>
      <c r="AS69" s="1251"/>
      <c r="AT69" s="1251"/>
      <c r="AU69" s="1251"/>
      <c r="AV69" s="1251"/>
      <c r="AW69" s="1251"/>
      <c r="AX69" s="1251"/>
      <c r="AY69" s="1251"/>
      <c r="AZ69" s="1251"/>
      <c r="BB69" s="720"/>
      <c r="BC69" s="720" t="str">
        <f t="shared" si="3"/>
        <v>Добавить централизованную систему для дифференциации</v>
      </c>
      <c r="BD69" s="720"/>
      <c r="BE69" s="720"/>
      <c r="BF69" s="455">
        <v>0</v>
      </c>
    </row>
    <row r="70" spans="1:58" s="1569" customFormat="1" ht="0" hidden="1" customHeight="1">
      <c r="A70" s="1302" t="s">
        <v>183</v>
      </c>
      <c r="B70" s="1302"/>
      <c r="C70" s="1302"/>
      <c r="D70" s="1302"/>
      <c r="E70" s="2504"/>
      <c r="F70" s="1302"/>
      <c r="G70" s="1302"/>
      <c r="H70" s="1302"/>
      <c r="I70" s="1302"/>
      <c r="J70" s="1302"/>
      <c r="K70" s="1302"/>
      <c r="L70" s="1302"/>
      <c r="M70" s="1308"/>
      <c r="N70" s="1306"/>
      <c r="O70" s="1306"/>
      <c r="P70" s="288"/>
      <c r="Q70" s="317"/>
      <c r="R70" s="1271"/>
      <c r="S70" s="317"/>
      <c r="T70" s="317"/>
      <c r="U70" s="1249"/>
      <c r="V70" s="1252" t="s">
        <v>171</v>
      </c>
      <c r="W70" s="1251"/>
      <c r="X70" s="1251"/>
      <c r="Y70" s="1251"/>
      <c r="Z70" s="1251"/>
      <c r="AA70" s="1251"/>
      <c r="AB70" s="1251"/>
      <c r="AC70" s="1251"/>
      <c r="AD70" s="1251"/>
      <c r="AE70" s="1251"/>
      <c r="AF70" s="1251"/>
      <c r="AG70" s="1251"/>
      <c r="AH70" s="1251"/>
      <c r="AI70" s="1251"/>
      <c r="AJ70" s="1251"/>
      <c r="AK70" s="1251"/>
      <c r="AL70" s="1251"/>
      <c r="AM70" s="1251"/>
      <c r="AN70" s="1251"/>
      <c r="AO70" s="1251"/>
      <c r="AP70" s="1251"/>
      <c r="AQ70" s="1251"/>
      <c r="AR70" s="1251"/>
      <c r="AS70" s="1251"/>
      <c r="AT70" s="1251"/>
      <c r="AU70" s="1251"/>
      <c r="AV70" s="1251"/>
      <c r="AW70" s="1251"/>
      <c r="AX70" s="1251"/>
      <c r="AY70" s="1251"/>
      <c r="AZ70" s="1251"/>
      <c r="BB70" s="437"/>
      <c r="BC70" s="437" t="str">
        <f t="shared" si="3"/>
        <v>Добавить территорию для дифференциации</v>
      </c>
      <c r="BD70" s="437"/>
      <c r="BE70" s="437"/>
      <c r="BF70" s="448">
        <v>0</v>
      </c>
    </row>
    <row r="71" spans="1:58" s="1569" customFormat="1" ht="4.1500000000000004" customHeight="1">
      <c r="A71" s="1301"/>
      <c r="B71" s="1301"/>
      <c r="C71" s="1301"/>
      <c r="D71" s="1301"/>
      <c r="E71" s="1302"/>
      <c r="F71" s="1301"/>
      <c r="G71" s="1301"/>
      <c r="H71" s="1301"/>
      <c r="I71" s="1301"/>
      <c r="J71" s="1301"/>
      <c r="K71" s="1301"/>
      <c r="L71" s="1301"/>
      <c r="M71" s="1304"/>
      <c r="N71" s="1306"/>
      <c r="O71" s="1306"/>
      <c r="P71" s="288"/>
      <c r="Q71" s="1243"/>
      <c r="R71" s="1244"/>
      <c r="S71" s="1243"/>
      <c r="T71" s="1243"/>
      <c r="U71" s="1249"/>
      <c r="V71" s="1252" t="s">
        <v>172</v>
      </c>
      <c r="W71" s="1251"/>
      <c r="X71" s="1251"/>
      <c r="Y71" s="1251"/>
      <c r="Z71" s="1251"/>
      <c r="AA71" s="1251"/>
      <c r="AB71" s="1251"/>
      <c r="AC71" s="1251"/>
      <c r="AD71" s="1251"/>
      <c r="AE71" s="1251"/>
      <c r="AF71" s="1251"/>
      <c r="AG71" s="1251"/>
      <c r="AH71" s="1251"/>
      <c r="AI71" s="1251"/>
      <c r="AJ71" s="1251"/>
      <c r="AK71" s="1251"/>
      <c r="AL71" s="1251"/>
      <c r="AM71" s="1251"/>
      <c r="AN71" s="1251"/>
      <c r="AO71" s="1251"/>
      <c r="AP71" s="1251"/>
      <c r="AQ71" s="1251"/>
      <c r="AR71" s="1251"/>
      <c r="AS71" s="1251"/>
      <c r="AT71" s="1251"/>
      <c r="AU71" s="1251"/>
      <c r="AV71" s="1251"/>
      <c r="AW71" s="1251"/>
      <c r="AX71" s="1251"/>
      <c r="AY71" s="1251"/>
      <c r="AZ71" s="1251"/>
      <c r="BB71" s="720"/>
      <c r="BC71" s="720" t="str">
        <f t="shared" si="3"/>
        <v>Добавить наименование тарифа</v>
      </c>
      <c r="BD71" s="720"/>
      <c r="BE71" s="720"/>
      <c r="BF71" s="455">
        <v>4</v>
      </c>
    </row>
    <row r="72" spans="1:58" ht="11.45" customHeight="1">
      <c r="N72" s="1082"/>
      <c r="O72" s="1082"/>
      <c r="P72" s="446"/>
      <c r="Q72" s="1082"/>
      <c r="R72" s="1082"/>
      <c r="S72" s="1082"/>
      <c r="T72" s="1082"/>
      <c r="U72" s="1082"/>
      <c r="AP72" s="1562"/>
      <c r="AQ72" s="1562"/>
      <c r="AR72" s="1562"/>
      <c r="AS72" s="1562"/>
      <c r="AT72" s="1562"/>
      <c r="AU72" s="1562"/>
      <c r="AV72" s="1562"/>
      <c r="AW72" s="1562"/>
      <c r="AX72" s="2273"/>
      <c r="BA72" s="1082"/>
      <c r="BB72" s="1082"/>
      <c r="BC72" s="1082"/>
      <c r="BD72" s="1082"/>
      <c r="BE72" s="1082"/>
      <c r="BF72" s="1082">
        <v>11</v>
      </c>
    </row>
    <row r="73" spans="1:58" ht="35.65" customHeight="1">
      <c r="P73" s="446"/>
      <c r="U73" s="1180"/>
      <c r="V73" s="2467"/>
      <c r="W73" s="2467"/>
      <c r="X73" s="2467"/>
      <c r="Y73" s="2467"/>
      <c r="Z73" s="2467"/>
      <c r="AA73" s="2467"/>
      <c r="AB73" s="2467"/>
      <c r="AC73" s="2467"/>
      <c r="AD73" s="2467"/>
      <c r="AE73" s="2467"/>
      <c r="AF73" s="2467"/>
      <c r="AG73" s="2467"/>
      <c r="AH73" s="2467"/>
      <c r="AI73" s="2467"/>
      <c r="AJ73" s="2467"/>
      <c r="AK73" s="2467"/>
      <c r="AL73" s="2467"/>
      <c r="AM73" s="2467"/>
      <c r="AN73" s="2467"/>
      <c r="AO73" s="2467"/>
      <c r="AP73" s="2467"/>
      <c r="AQ73" s="2467"/>
      <c r="AR73" s="2467"/>
      <c r="AS73" s="2467"/>
      <c r="AT73" s="2467"/>
      <c r="AU73" s="2467"/>
      <c r="AV73" s="2467"/>
      <c r="AW73" s="2467"/>
      <c r="AX73" s="2494"/>
      <c r="AY73" s="2467"/>
      <c r="AZ73" s="2467"/>
      <c r="BF73" s="1082">
        <v>34</v>
      </c>
    </row>
    <row r="74" spans="1:58" ht="21" customHeight="1">
      <c r="P74" s="446"/>
      <c r="V74" s="2467"/>
      <c r="W74" s="2467"/>
      <c r="X74" s="2467"/>
      <c r="Y74" s="2467"/>
      <c r="Z74" s="2467"/>
      <c r="AA74" s="2467"/>
      <c r="AB74" s="2467"/>
      <c r="AC74" s="2467"/>
      <c r="AD74" s="2467"/>
      <c r="AE74" s="2467"/>
      <c r="AF74" s="2467"/>
      <c r="AG74" s="2467"/>
      <c r="AH74" s="2467"/>
      <c r="AI74" s="2467"/>
      <c r="AJ74" s="2467"/>
      <c r="AK74" s="2467"/>
      <c r="AL74" s="2467"/>
      <c r="AM74" s="2467"/>
      <c r="AN74" s="2467"/>
      <c r="AO74" s="2467"/>
      <c r="AP74" s="2467"/>
      <c r="AQ74" s="2467"/>
      <c r="AR74" s="2467"/>
      <c r="AS74" s="2467"/>
      <c r="AT74" s="2467"/>
      <c r="AU74" s="2467"/>
      <c r="AV74" s="2467"/>
      <c r="AW74" s="2467"/>
      <c r="AX74" s="2494"/>
      <c r="AY74" s="2467"/>
      <c r="AZ74" s="2467"/>
      <c r="BF74" s="1082">
        <v>20</v>
      </c>
    </row>
    <row r="75" spans="1:58" ht="14.65" customHeight="1">
      <c r="P75" s="446"/>
      <c r="AP75" s="1562"/>
      <c r="AQ75" s="1562"/>
      <c r="AR75" s="1562"/>
      <c r="AS75" s="1562"/>
      <c r="AT75" s="1562"/>
      <c r="AU75" s="1562"/>
      <c r="AV75" s="1562"/>
      <c r="AW75" s="1562"/>
      <c r="AX75" s="2273"/>
      <c r="BF75" s="1082">
        <v>14</v>
      </c>
    </row>
    <row r="76" spans="1:58" ht="28.5" customHeight="1">
      <c r="P76" s="446"/>
      <c r="V76" s="2467"/>
      <c r="W76" s="2467"/>
      <c r="X76" s="2467"/>
      <c r="Y76" s="2467"/>
      <c r="Z76" s="2467"/>
      <c r="AA76" s="2467"/>
      <c r="AB76" s="2467"/>
      <c r="AC76" s="2467"/>
      <c r="AD76" s="2467"/>
      <c r="AE76" s="2467"/>
      <c r="AF76" s="2467"/>
      <c r="AG76" s="2467"/>
      <c r="AH76" s="2467"/>
      <c r="AI76" s="2467"/>
      <c r="AJ76" s="2467"/>
      <c r="AK76" s="2467"/>
      <c r="AL76" s="2467"/>
      <c r="AM76" s="2467"/>
      <c r="AN76" s="2467"/>
      <c r="AO76" s="2467"/>
      <c r="AP76" s="2467"/>
      <c r="AQ76" s="2467"/>
      <c r="AR76" s="2467"/>
      <c r="AS76" s="2467"/>
      <c r="AT76" s="2467"/>
      <c r="AU76" s="2467"/>
      <c r="AV76" s="2467"/>
      <c r="AW76" s="2467"/>
      <c r="AX76" s="2494"/>
      <c r="AY76" s="2467"/>
      <c r="AZ76" s="2467"/>
      <c r="BF76" s="1082">
        <v>27</v>
      </c>
    </row>
    <row r="77" spans="1:58" ht="18.75" customHeight="1">
      <c r="P77" s="446"/>
      <c r="V77" s="2467"/>
      <c r="W77" s="2467"/>
      <c r="X77" s="2467"/>
      <c r="Y77" s="2467"/>
      <c r="Z77" s="2467"/>
      <c r="AA77" s="2467"/>
      <c r="AB77" s="2467"/>
      <c r="AC77" s="2467"/>
      <c r="AD77" s="2467"/>
      <c r="AE77" s="2467"/>
      <c r="AF77" s="2467"/>
      <c r="AG77" s="2467"/>
      <c r="AH77" s="2467"/>
      <c r="AI77" s="2467"/>
      <c r="AJ77" s="2467"/>
      <c r="AK77" s="2467"/>
      <c r="AL77" s="2467"/>
      <c r="AM77" s="2467"/>
      <c r="AN77" s="2467"/>
      <c r="AO77" s="2467"/>
      <c r="AP77" s="2467"/>
      <c r="AQ77" s="2467"/>
      <c r="AR77" s="2467"/>
      <c r="AS77" s="2467"/>
      <c r="AT77" s="2467"/>
      <c r="AU77" s="2467"/>
      <c r="AV77" s="2467"/>
      <c r="AW77" s="2467"/>
      <c r="AX77" s="2494"/>
      <c r="AY77" s="2467"/>
      <c r="AZ77" s="2467"/>
      <c r="BF77" s="1082">
        <v>18</v>
      </c>
    </row>
    <row r="78" spans="1:58" ht="22.5" hidden="1" customHeight="1">
      <c r="A78" s="1082" t="s">
        <v>83</v>
      </c>
      <c r="B78" s="1082">
        <v>0</v>
      </c>
      <c r="C78" s="1082">
        <v>0</v>
      </c>
      <c r="D78" s="1082">
        <v>0</v>
      </c>
      <c r="E78" s="1082">
        <v>0</v>
      </c>
      <c r="F78" s="1082">
        <v>0</v>
      </c>
      <c r="G78" s="1082">
        <v>0</v>
      </c>
      <c r="H78" s="1082">
        <v>0</v>
      </c>
      <c r="I78" s="1082">
        <v>0</v>
      </c>
      <c r="J78" s="1082">
        <v>0</v>
      </c>
      <c r="K78" s="1082">
        <v>0</v>
      </c>
      <c r="L78" s="1082">
        <v>0</v>
      </c>
      <c r="M78" s="1254">
        <v>0</v>
      </c>
      <c r="N78" s="1255">
        <v>0</v>
      </c>
      <c r="O78" s="1255">
        <v>0</v>
      </c>
      <c r="P78" s="1255">
        <v>0</v>
      </c>
      <c r="Q78" s="1255">
        <v>0</v>
      </c>
      <c r="R78" s="282">
        <v>3</v>
      </c>
      <c r="S78" s="282">
        <v>3</v>
      </c>
      <c r="T78" s="282">
        <v>3</v>
      </c>
      <c r="U78" s="518">
        <v>12</v>
      </c>
      <c r="V78" s="1082">
        <v>31</v>
      </c>
      <c r="W78" s="1082">
        <v>0</v>
      </c>
      <c r="X78" s="1082">
        <v>0</v>
      </c>
      <c r="Y78" s="1082">
        <v>0</v>
      </c>
      <c r="Z78" s="1082">
        <v>0</v>
      </c>
      <c r="AA78" s="1082">
        <v>0</v>
      </c>
      <c r="AB78" s="1082">
        <v>0</v>
      </c>
      <c r="AC78" s="1082">
        <v>0</v>
      </c>
      <c r="AD78" s="1082">
        <v>0</v>
      </c>
      <c r="AE78" s="1082">
        <v>0</v>
      </c>
      <c r="AF78" s="1082">
        <v>0</v>
      </c>
      <c r="AG78" s="1082">
        <v>21</v>
      </c>
      <c r="AH78" s="1082">
        <v>21</v>
      </c>
      <c r="AI78" s="1082">
        <v>21</v>
      </c>
      <c r="AJ78" s="1082">
        <v>21</v>
      </c>
      <c r="AK78" s="1082">
        <v>21</v>
      </c>
      <c r="AL78" s="1082">
        <v>11</v>
      </c>
      <c r="AM78" s="1082">
        <v>3</v>
      </c>
      <c r="AN78" s="1082">
        <v>11</v>
      </c>
      <c r="AO78" s="1082">
        <v>8</v>
      </c>
      <c r="AP78" s="1562">
        <v>0</v>
      </c>
      <c r="AQ78" s="1562">
        <v>0</v>
      </c>
      <c r="AR78" s="1562">
        <v>0</v>
      </c>
      <c r="AS78" s="1562">
        <v>0</v>
      </c>
      <c r="AT78" s="1562">
        <v>0</v>
      </c>
      <c r="AU78" s="1562">
        <v>0</v>
      </c>
      <c r="AV78" s="1562">
        <v>0</v>
      </c>
      <c r="AW78" s="1562">
        <v>0</v>
      </c>
      <c r="AX78" s="2273">
        <v>0</v>
      </c>
      <c r="AY78" s="1082">
        <v>4</v>
      </c>
      <c r="AZ78" s="1082">
        <v>115</v>
      </c>
      <c r="BA78" s="448">
        <v>10</v>
      </c>
      <c r="BB78" s="448">
        <v>10</v>
      </c>
      <c r="BC78" s="448">
        <v>10</v>
      </c>
      <c r="BD78" s="448">
        <v>10</v>
      </c>
      <c r="BE78" s="448">
        <v>10</v>
      </c>
      <c r="BF78" s="1082">
        <v>23</v>
      </c>
    </row>
  </sheetData>
  <sheetProtection formatColumns="0" formatRows="0" insertRows="0" deleteColumns="0" deleteRows="0" sort="0" autoFilter="0"/>
  <mergeCells count="170">
    <mergeCell ref="AZ62:AZ65"/>
    <mergeCell ref="J60:J65"/>
    <mergeCell ref="R60:R65"/>
    <mergeCell ref="X60:AF60"/>
    <mergeCell ref="AG60:AY60"/>
    <mergeCell ref="S61:S64"/>
    <mergeCell ref="K61:K64"/>
    <mergeCell ref="L62:L63"/>
    <mergeCell ref="AC61:AC64"/>
    <mergeCell ref="AE61:AE64"/>
    <mergeCell ref="AD61:AD64"/>
    <mergeCell ref="AF61:AF64"/>
    <mergeCell ref="AL61:AL64"/>
    <mergeCell ref="AM61:AM64"/>
    <mergeCell ref="AN61:AN64"/>
    <mergeCell ref="AO61:AO64"/>
    <mergeCell ref="AU61:AU64"/>
    <mergeCell ref="AV61:AV64"/>
    <mergeCell ref="AW61:AW64"/>
    <mergeCell ref="AX61:AX64"/>
    <mergeCell ref="AP33:AW33"/>
    <mergeCell ref="AP34:AW34"/>
    <mergeCell ref="AP35:AW35"/>
    <mergeCell ref="AP36:AW36"/>
    <mergeCell ref="AP41:AX41"/>
    <mergeCell ref="AP43:AW43"/>
    <mergeCell ref="AX43:AX47"/>
    <mergeCell ref="AP44:AP47"/>
    <mergeCell ref="AV48:AW48"/>
    <mergeCell ref="AP39:AW39"/>
    <mergeCell ref="AP38:AW38"/>
    <mergeCell ref="AQ44:AT44"/>
    <mergeCell ref="AQ45:AQ47"/>
    <mergeCell ref="AR45:AT45"/>
    <mergeCell ref="AS46:AT46"/>
    <mergeCell ref="AR46:AR47"/>
    <mergeCell ref="AU46:AU47"/>
    <mergeCell ref="AV46:AW47"/>
    <mergeCell ref="AU44:AW45"/>
    <mergeCell ref="AN19:AN22"/>
    <mergeCell ref="AO19:AO22"/>
    <mergeCell ref="E2:E17"/>
    <mergeCell ref="X2:AF2"/>
    <mergeCell ref="AG2:AY2"/>
    <mergeCell ref="F3:F16"/>
    <mergeCell ref="X3:AF3"/>
    <mergeCell ref="AG3:AY3"/>
    <mergeCell ref="G4:G15"/>
    <mergeCell ref="X4:AF4"/>
    <mergeCell ref="AG4:AY4"/>
    <mergeCell ref="H5:H14"/>
    <mergeCell ref="X5:AF5"/>
    <mergeCell ref="AG5:AY5"/>
    <mergeCell ref="I6:I13"/>
    <mergeCell ref="Q6:Q13"/>
    <mergeCell ref="X6:AF6"/>
    <mergeCell ref="AG6:AY6"/>
    <mergeCell ref="AU8:AU11"/>
    <mergeCell ref="AV8:AV11"/>
    <mergeCell ref="AW8:AW11"/>
    <mergeCell ref="AX8:AX11"/>
    <mergeCell ref="AZ9:AZ12"/>
    <mergeCell ref="J7:J12"/>
    <mergeCell ref="R7:R12"/>
    <mergeCell ref="X7:AF7"/>
    <mergeCell ref="AG7:AY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Y54"/>
    <mergeCell ref="K55:K58"/>
    <mergeCell ref="AD48:AE48"/>
    <mergeCell ref="AM48:AN48"/>
    <mergeCell ref="X41:AF41"/>
    <mergeCell ref="AG41:AO41"/>
    <mergeCell ref="U42:AY42"/>
    <mergeCell ref="U43:U47"/>
    <mergeCell ref="V43:V47"/>
    <mergeCell ref="X43:AE43"/>
    <mergeCell ref="AF43:AF47"/>
    <mergeCell ref="AG43:AN43"/>
    <mergeCell ref="AO43:AO47"/>
    <mergeCell ref="AC55:AC58"/>
    <mergeCell ref="AE55:AE58"/>
    <mergeCell ref="AD55:AD58"/>
    <mergeCell ref="E49:E70"/>
    <mergeCell ref="X49:AF49"/>
    <mergeCell ref="AG49:AY49"/>
    <mergeCell ref="F50:F69"/>
    <mergeCell ref="X50:AF50"/>
    <mergeCell ref="AG50:AY50"/>
    <mergeCell ref="G51:G68"/>
    <mergeCell ref="X51:AF51"/>
    <mergeCell ref="AG51:AY51"/>
    <mergeCell ref="H52:H67"/>
    <mergeCell ref="X52:AF52"/>
    <mergeCell ref="AG52:AY52"/>
    <mergeCell ref="I53:I66"/>
    <mergeCell ref="Q53:Q66"/>
    <mergeCell ref="L56:L57"/>
    <mergeCell ref="AF55:AF58"/>
    <mergeCell ref="AU55:AU58"/>
    <mergeCell ref="AV55:AV58"/>
    <mergeCell ref="AW55:AW58"/>
    <mergeCell ref="AX55:AX58"/>
    <mergeCell ref="S57:S58"/>
    <mergeCell ref="AH44:AK44"/>
    <mergeCell ref="AL44:AN45"/>
    <mergeCell ref="AH45:AH47"/>
    <mergeCell ref="X53:AF53"/>
    <mergeCell ref="AG53:AY53"/>
    <mergeCell ref="AI45:AK45"/>
    <mergeCell ref="AI46:AI47"/>
    <mergeCell ref="AJ46:AK46"/>
    <mergeCell ref="AL46:AL47"/>
    <mergeCell ref="AM46:AN47"/>
    <mergeCell ref="AY43:AY47"/>
    <mergeCell ref="X44:X47"/>
    <mergeCell ref="AG44:AG47"/>
    <mergeCell ref="V77:AZ77"/>
    <mergeCell ref="U39:V39"/>
    <mergeCell ref="X39:AE39"/>
    <mergeCell ref="AG39:AN39"/>
    <mergeCell ref="U38:V38"/>
    <mergeCell ref="X38:AE38"/>
    <mergeCell ref="AG38:AN38"/>
    <mergeCell ref="AL55:AL58"/>
    <mergeCell ref="AM55:AM58"/>
    <mergeCell ref="AN55:AN58"/>
    <mergeCell ref="AO55:AO58"/>
    <mergeCell ref="V76:AZ76"/>
    <mergeCell ref="AZ42:AZ47"/>
    <mergeCell ref="AZ56:AZ59"/>
    <mergeCell ref="V73:AZ73"/>
    <mergeCell ref="V74:AZ74"/>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8 AD131134 AD196670 AD262206 AD327742 AD393278 AD458814 AD524350 AD589886 AD655422 AD720958 AD786494 AD852030 AD917566 AD983102 AF131134 AF458814 AF196670 AF262206 AF327742 AF393278 AF524350 AF589886 AF655422 AF720958 AF786494 AF852030 AF917566 AF983102 AF65598 AM65598 AM131134 AM196670 AM262206 AM327742 AM393278 AM458814 AM524350 AM589886 AM655422 AM720958 AM786494 AM852030 AM917566 AM983102 AO393278:AX393278 AO327742:AX327742 AO524350:AX524350 AO55 AV55 AX55 AO589886:AX589886 AO655422:AX655422 AO19:AO21 AO720958:AX720958 AO786494:AX786494 AO852030:AX852030 AO917566:AX917566 AO983102:AX983102 AO65598:AX65598 AO131134:AX131134 AO458814:AX458814 AF55 AO196670:AX196670 AF8 AD8 AM55 AM19:AM21 AO262206:AX262206 AD55 AO8 AV8 AX8 AM8 AD61 AF61 AM61 AO61 AV61 AX61" xr:uid="{00000000-0002-0000-1200-000000000000}"/>
    <dataValidation allowBlank="1" promptTitle="checkPeriodRange" sqref="AB65599 AB131135 AB196671 AB262207 AB327743 AB393279 AB458815 AB524351 AB589887 AB655423 AB720959 AB786495 AB852031 AB917567 AB983103 AB10:AB11 AK65599 AK131135 AK196671 AK262207 AK327743 AK393279 AK458815 AK524351 AK589887 AK655423 AK720959 AK786495 AK852031 AK917567 AK983103 AK10:AK11 AK57 AK22 AB57 AT10 AT11 AT57 AB63 AK63 AT63 AB64 AK64 AT64"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8 AC131134 AC196670 AC262206 AC327742 AC393278 AC458814 AC524350 AC589886 AC655422 AC720958 AC786494 AC852030 AC917566 AC983102 AE65598 AE131134 AE196670 AE262206 AE327742 AE393278 AE458814 AE524350 AE589886 AE655422 AE720958 AE786494 AE852030 AE917566 AE983102 AN55 AL65598 AL131134 AL196670 AL262206 AL327742 AL393278 AL458814 AL524350 AL589886 AL655422 AL720958 AL786494 AL852030 AL917566 AL983102 AN65598 AN131134 AN196670 AN262206 AN327742 AN393278 AN458814 AN524350 AN589886 AN655422 AN720958 AN786494 AN852030 AN917566 AN983102 AC55 AE55 AL55 AE8 AC8 AL19:AL21 AN19:AN21 AN8 AL8 AU8 AW8 AU55 AW55 AC61 AE61 AL61 AN61 AU61 AW61" xr:uid="{00000000-0002-0000-1200-000002000000}"/>
    <dataValidation type="textLength" operator="lessThanOrEqual" allowBlank="1" showInputMessage="1" showErrorMessage="1" errorTitle="Ошибка" error="Допускается ввод не более 900 символов!" sqref="AZ65592:AZ65599 AZ131128:AZ131135 AZ196664:AZ196671 AZ262200:AZ262207 AZ327736:AZ327743 AZ393272:AZ393279 AZ458808:AZ458815 AZ524344:AZ524351 AZ589880:AZ589887 AZ655416:AZ655423 AZ720952:AZ720959 AZ786488:AZ786495 AZ852024:AZ852031 AZ917560:AZ917567 AZ983096:AZ983103" xr:uid="{00000000-0002-0000-1200-000003000000}">
      <formula1>900</formula1>
    </dataValidation>
    <dataValidation allowBlank="1" sqref="U131136:AZ131142 U196672:AZ196678 U262208:AZ262214 U327744:AZ327750 U393280:AZ393286 U458816:AZ458822 U524352:AZ524358 U589888:AZ589894 U655424:AZ655430 U720960:AZ720966 U786496:AZ786502 U852032:AZ852038 U917568:AZ917574 U983104:AZ983110 U65600:AZ65606" xr:uid="{00000000-0002-0000-1200-000004000000}"/>
    <dataValidation type="list" allowBlank="1" showInputMessage="1" errorTitle="Ошибка" error="Выберите значение из списка" prompt="Выберите значение из списка" sqref="X983101:AY983101 X65597:AY65597 X131133:AY131133 X196669:AY196669 X262205:AY262205 X327741:AY327741 X393277:AY393277 X458813:AY458813 X524349:AY524349 X589885:AY589885 X655421:AY655421 X720957:AY720957 X786493:AY786493 X852029:AY852029 X917565:AY917565" xr:uid="{00000000-0002-0000-1200-000005000000}">
      <formula1>kind_of_cons</formula1>
    </dataValidation>
    <dataValidation type="list" allowBlank="1" showInputMessage="1" showErrorMessage="1" errorTitle="Ошибка" error="Выберите значение из списка" sqref="X983100:Z983100 X65596:Z65596 X131132:Z131132 X196668:Z196668 X262204:Z262204 X327740:Z327740 X393276:Z393276 X458812:Z458812 X524348:Z524348 X589884:Z589884 X655420:Z655420 X720956:Z720956 X786492:Z786492 X852028:Z852028 X917564:Z917564 AG983100:AI983100 AG65596:AI65596 AG131132:AI131132 AG196668:AI196668 AG262204:AI262204 AG327740:AI327740 AG393276:AI393276 AG458812:AI458812 AG524348:AI524348 AG589884:AI589884 AG655420:AI655420 AG720956:AI720956 AG786492:AI786492 AG852028:AI852028 AG917564:AI917564" xr:uid="{00000000-0002-0000-1200-000006000000}">
      <formula1>kind_of_scheme_in</formula1>
    </dataValidation>
    <dataValidation type="list" allowBlank="1" showInputMessage="1" showErrorMessage="1" errorTitle="Ошибка" error="Выберите значение из списка" sqref="V65598 V131134 V196670 V262206 V327742 V393278 V458814 V524350 V589886 V655422 V720958 V786494 V852030 V917566 V983102"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32B8D-0339-6821-5477-56A3CCA35F7E}">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09"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468">
        <v>1</v>
      </c>
      <c r="F2" s="1290"/>
      <c r="G2" s="1290"/>
      <c r="H2" s="1290"/>
      <c r="I2" s="1290"/>
      <c r="J2" s="1290"/>
      <c r="K2" s="1290"/>
      <c r="L2" s="1291"/>
      <c r="M2" s="1292"/>
      <c r="N2" s="1292"/>
      <c r="O2" s="1292"/>
      <c r="P2" s="1336"/>
      <c r="Q2" s="804"/>
      <c r="R2" s="292"/>
      <c r="S2" s="1263" t="e">
        <f>INDEX(PT_DIFFERENTIATION_NUM_NTAR,MATCH(A2,PT_DIFFERENTIATION_NTAR_ID,0))</f>
        <v>#N/A</v>
      </c>
      <c r="T2" s="236" t="s">
        <v>124</v>
      </c>
      <c r="U2" s="238"/>
      <c r="V2" s="2463"/>
      <c r="W2" s="2463"/>
      <c r="X2" s="2463"/>
      <c r="Y2" s="2463"/>
      <c r="Z2" s="2463"/>
      <c r="AA2" s="2464"/>
      <c r="AB2" s="2462" t="e">
        <f>INDEX(PT_DIFFERENTIATION_NTAR,MATCH(A2,PT_DIFFERENTIATION_NTAR_ID,0))</f>
        <v>#N/A</v>
      </c>
      <c r="AC2" s="2463"/>
      <c r="AD2" s="2463"/>
      <c r="AE2" s="2463"/>
      <c r="AF2" s="2463"/>
      <c r="AG2" s="2463"/>
      <c r="AH2" s="2463"/>
      <c r="AI2" s="2463"/>
      <c r="AJ2" s="2463"/>
      <c r="AK2" s="2463"/>
      <c r="AL2" s="2463"/>
      <c r="AM2" s="2463"/>
      <c r="AN2" s="2463"/>
      <c r="AO2" s="2463"/>
      <c r="AP2" s="2463"/>
      <c r="AQ2" s="2463"/>
      <c r="AR2" s="2463"/>
      <c r="AS2" s="2463"/>
      <c r="AT2" s="2464"/>
      <c r="AU2" s="1185" t="s">
        <v>403</v>
      </c>
      <c r="AW2" s="437"/>
      <c r="AX2" s="437" t="str">
        <f t="shared" ref="AX2:AX8" si="0">IF(T2="","",T2)</f>
        <v>Наименование тарифа</v>
      </c>
      <c r="AY2" s="437"/>
      <c r="AZ2" s="437"/>
      <c r="BA2" s="1082">
        <v>0</v>
      </c>
    </row>
    <row r="3" spans="1:53" ht="21" hidden="1" customHeight="1">
      <c r="A3" s="1290"/>
      <c r="B3" s="1290"/>
      <c r="C3" s="1290"/>
      <c r="D3" s="1290"/>
      <c r="E3" s="2469"/>
      <c r="F3" s="2468">
        <v>1</v>
      </c>
      <c r="G3" s="1290"/>
      <c r="H3" s="1290"/>
      <c r="I3" s="1290"/>
      <c r="J3" s="1290"/>
      <c r="K3" s="1290"/>
      <c r="L3" s="1291"/>
      <c r="M3" s="1292"/>
      <c r="N3" s="1292"/>
      <c r="O3" s="1292"/>
      <c r="P3" s="1337"/>
      <c r="Q3" s="1338"/>
      <c r="R3" s="290"/>
      <c r="S3" s="1263" t="e">
        <f>INDEX(PT_DIFFERENTIATION_NUM_TER,MATCH(B3,PT_DIFFERENTIATION_TER_ID,0))</f>
        <v>#N/A</v>
      </c>
      <c r="T3" s="246" t="s">
        <v>404</v>
      </c>
      <c r="U3" s="238"/>
      <c r="V3" s="2463"/>
      <c r="W3" s="2463"/>
      <c r="X3" s="2463"/>
      <c r="Y3" s="2463"/>
      <c r="Z3" s="2463"/>
      <c r="AA3" s="2464"/>
      <c r="AB3" s="2462" t="e">
        <f>INDEX(PT_DIFFERENTIATION_TER,MATCH(B3,PT_DIFFERENTIATION_TER_ID,0))</f>
        <v>#N/A</v>
      </c>
      <c r="AC3" s="2463"/>
      <c r="AD3" s="2463"/>
      <c r="AE3" s="2463"/>
      <c r="AF3" s="2463"/>
      <c r="AG3" s="2463"/>
      <c r="AH3" s="2463"/>
      <c r="AI3" s="2463"/>
      <c r="AJ3" s="2463"/>
      <c r="AK3" s="2463"/>
      <c r="AL3" s="2463"/>
      <c r="AM3" s="2463"/>
      <c r="AN3" s="2463"/>
      <c r="AO3" s="2463"/>
      <c r="AP3" s="2463"/>
      <c r="AQ3" s="2463"/>
      <c r="AR3" s="2463"/>
      <c r="AS3" s="2463"/>
      <c r="AT3" s="2464"/>
      <c r="AU3" s="1185" t="s">
        <v>405</v>
      </c>
      <c r="AW3" s="437"/>
      <c r="AX3" s="437" t="str">
        <f t="shared" si="0"/>
        <v>Территория действия тарифа</v>
      </c>
      <c r="AY3" s="437"/>
      <c r="AZ3" s="437"/>
      <c r="BA3" s="1082">
        <v>0</v>
      </c>
    </row>
    <row r="4" spans="1:53" ht="22.5" hidden="1" customHeight="1">
      <c r="A4" s="1290"/>
      <c r="B4" s="1290"/>
      <c r="C4" s="1290"/>
      <c r="D4" s="1290"/>
      <c r="E4" s="2469"/>
      <c r="F4" s="2469"/>
      <c r="G4" s="2468">
        <v>1</v>
      </c>
      <c r="H4" s="1290"/>
      <c r="I4" s="1290"/>
      <c r="J4" s="1290"/>
      <c r="K4" s="1290"/>
      <c r="L4" s="1291"/>
      <c r="M4" s="1292"/>
      <c r="N4" s="1292"/>
      <c r="O4" s="1292"/>
      <c r="P4" s="1339"/>
      <c r="Q4" s="1338"/>
      <c r="R4" s="290"/>
      <c r="S4" s="1263" t="e">
        <f>INDEX(PT_DIFFERENTIATION_NUM_CS,MATCH(C4,PT_DIFFERENTIATION_CS_ID,0))</f>
        <v>#N/A</v>
      </c>
      <c r="T4" s="247" t="s">
        <v>406</v>
      </c>
      <c r="U4" s="238"/>
      <c r="V4" s="2463"/>
      <c r="W4" s="2463"/>
      <c r="X4" s="2463"/>
      <c r="Y4" s="2463"/>
      <c r="Z4" s="2463"/>
      <c r="AA4" s="2464"/>
      <c r="AB4" s="2462" t="e">
        <f>INDEX(PT_DIFFERENTIATION_CS,MATCH(C4,PT_DIFFERENTIATION_CS_ID,0))</f>
        <v>#N/A</v>
      </c>
      <c r="AC4" s="2463"/>
      <c r="AD4" s="2463"/>
      <c r="AE4" s="2463"/>
      <c r="AF4" s="2463"/>
      <c r="AG4" s="2463"/>
      <c r="AH4" s="2463"/>
      <c r="AI4" s="2463"/>
      <c r="AJ4" s="2463"/>
      <c r="AK4" s="2463"/>
      <c r="AL4" s="2463"/>
      <c r="AM4" s="2463"/>
      <c r="AN4" s="2463"/>
      <c r="AO4" s="2463"/>
      <c r="AP4" s="2463"/>
      <c r="AQ4" s="2463"/>
      <c r="AR4" s="2463"/>
      <c r="AS4" s="2463"/>
      <c r="AT4" s="2464"/>
      <c r="AU4" s="1185" t="s">
        <v>407</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469"/>
      <c r="F5" s="2469"/>
      <c r="G5" s="2469"/>
      <c r="H5" s="2468">
        <v>1</v>
      </c>
      <c r="I5" s="1290"/>
      <c r="J5" s="1290"/>
      <c r="K5" s="1290"/>
      <c r="L5" s="1291"/>
      <c r="M5" s="1292"/>
      <c r="N5" s="1292"/>
      <c r="O5" s="1292"/>
      <c r="P5" s="1339"/>
      <c r="Q5" s="1338"/>
      <c r="R5" s="290"/>
      <c r="S5" s="1263" t="e">
        <f>INDEX(PT_DIFFERENTIATION_NUM_IST_TE,MATCH(D5,PT_DIFFERENTIATION_IST_TE_ID,0))</f>
        <v>#N/A</v>
      </c>
      <c r="T5" s="248" t="s">
        <v>408</v>
      </c>
      <c r="U5" s="238"/>
      <c r="V5" s="2463"/>
      <c r="W5" s="2463"/>
      <c r="X5" s="2463"/>
      <c r="Y5" s="2463"/>
      <c r="Z5" s="2463"/>
      <c r="AA5" s="2464"/>
      <c r="AB5" s="2462" t="e">
        <f>INDEX(PT_DIFFERENTIATION_IST_TE,MATCH(D5,PT_DIFFERENTIATION_IST_TE_ID,0))</f>
        <v>#N/A</v>
      </c>
      <c r="AC5" s="2463"/>
      <c r="AD5" s="2463"/>
      <c r="AE5" s="2463"/>
      <c r="AF5" s="2463"/>
      <c r="AG5" s="2463"/>
      <c r="AH5" s="2463"/>
      <c r="AI5" s="2463"/>
      <c r="AJ5" s="2463"/>
      <c r="AK5" s="2463"/>
      <c r="AL5" s="2463"/>
      <c r="AM5" s="2463"/>
      <c r="AN5" s="2463"/>
      <c r="AO5" s="2463"/>
      <c r="AP5" s="2463"/>
      <c r="AQ5" s="2463"/>
      <c r="AR5" s="2463"/>
      <c r="AS5" s="2463"/>
      <c r="AT5" s="2464"/>
      <c r="AU5" s="1185" t="s">
        <v>409</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469"/>
      <c r="F6" s="2469"/>
      <c r="G6" s="2469"/>
      <c r="H6" s="2469"/>
      <c r="I6" s="2470" t="e">
        <f>S5&amp;".1"</f>
        <v>#N/A</v>
      </c>
      <c r="J6" s="1270"/>
      <c r="K6" s="1270"/>
      <c r="L6" s="1273" t="s">
        <v>410</v>
      </c>
      <c r="M6" s="447"/>
      <c r="N6" s="447"/>
      <c r="O6" s="447"/>
      <c r="P6" s="2472">
        <v>1</v>
      </c>
      <c r="Q6" s="1258"/>
      <c r="R6" s="293"/>
      <c r="S6" s="972"/>
      <c r="T6" s="1310"/>
      <c r="U6" s="1311"/>
      <c r="V6" s="2510"/>
      <c r="W6" s="2510"/>
      <c r="X6" s="2510"/>
      <c r="Y6" s="2510"/>
      <c r="Z6" s="2510"/>
      <c r="AA6" s="2511"/>
      <c r="AB6" s="2509"/>
      <c r="AC6" s="2510"/>
      <c r="AD6" s="2510"/>
      <c r="AE6" s="2510"/>
      <c r="AF6" s="2510"/>
      <c r="AG6" s="2510"/>
      <c r="AH6" s="2510"/>
      <c r="AI6" s="2510"/>
      <c r="AJ6" s="2510"/>
      <c r="AK6" s="2510"/>
      <c r="AL6" s="2510"/>
      <c r="AM6" s="2510"/>
      <c r="AN6" s="2510"/>
      <c r="AO6" s="2510"/>
      <c r="AP6" s="2510"/>
      <c r="AQ6" s="2510"/>
      <c r="AR6" s="2510"/>
      <c r="AS6" s="2510"/>
      <c r="AT6" s="2511"/>
      <c r="AU6" s="1312"/>
      <c r="AW6" s="437"/>
      <c r="AX6" s="437" t="str">
        <f t="shared" si="0"/>
        <v/>
      </c>
      <c r="AY6" s="437"/>
      <c r="AZ6" s="437"/>
      <c r="BA6" s="448">
        <v>0</v>
      </c>
    </row>
    <row r="7" spans="1:53" s="1569" customFormat="1" ht="0.75" hidden="1" customHeight="1">
      <c r="A7" s="1270"/>
      <c r="B7" s="1270"/>
      <c r="C7" s="1270"/>
      <c r="D7" s="1270"/>
      <c r="E7" s="2469"/>
      <c r="F7" s="2469"/>
      <c r="G7" s="2469"/>
      <c r="H7" s="2469"/>
      <c r="I7" s="2471"/>
      <c r="J7" s="2470" t="e">
        <f>S5&amp;".1"</f>
        <v>#N/A</v>
      </c>
      <c r="K7" s="1270"/>
      <c r="L7" s="1273"/>
      <c r="M7" s="447"/>
      <c r="N7" s="447"/>
      <c r="O7" s="447"/>
      <c r="P7" s="2472"/>
      <c r="Q7" s="2472">
        <v>1</v>
      </c>
      <c r="R7" s="294"/>
      <c r="S7" s="972"/>
      <c r="T7" s="1326"/>
      <c r="U7" s="1311"/>
      <c r="V7" s="2510"/>
      <c r="W7" s="2510"/>
      <c r="X7" s="2510"/>
      <c r="Y7" s="2510"/>
      <c r="Z7" s="2510"/>
      <c r="AA7" s="2511"/>
      <c r="AB7" s="2509"/>
      <c r="AC7" s="2510"/>
      <c r="AD7" s="2510"/>
      <c r="AE7" s="2510"/>
      <c r="AF7" s="2510"/>
      <c r="AG7" s="2510"/>
      <c r="AH7" s="2510"/>
      <c r="AI7" s="2510"/>
      <c r="AJ7" s="2510"/>
      <c r="AK7" s="2510"/>
      <c r="AL7" s="2510"/>
      <c r="AM7" s="2510"/>
      <c r="AN7" s="2510"/>
      <c r="AO7" s="2510"/>
      <c r="AP7" s="2510"/>
      <c r="AQ7" s="2510"/>
      <c r="AR7" s="2510"/>
      <c r="AS7" s="2510"/>
      <c r="AT7" s="2511"/>
      <c r="AU7" s="1312"/>
      <c r="AW7" s="437"/>
      <c r="AX7" s="437" t="str">
        <f t="shared" si="0"/>
        <v/>
      </c>
      <c r="AY7" s="437"/>
      <c r="AZ7" s="437"/>
      <c r="BA7" s="448">
        <v>0</v>
      </c>
    </row>
    <row r="8" spans="1:53" ht="21" hidden="1" customHeight="1">
      <c r="A8" s="1290"/>
      <c r="B8" s="1290"/>
      <c r="C8" s="1290"/>
      <c r="D8" s="1290"/>
      <c r="E8" s="2469"/>
      <c r="F8" s="2469"/>
      <c r="G8" s="2469"/>
      <c r="H8" s="2469"/>
      <c r="I8" s="2471"/>
      <c r="J8" s="2471"/>
      <c r="K8" s="2470" t="e">
        <f>S5&amp;".1"</f>
        <v>#N/A</v>
      </c>
      <c r="L8" s="1291"/>
      <c r="P8" s="2472"/>
      <c r="Q8" s="2472"/>
      <c r="R8" s="2541">
        <v>1</v>
      </c>
      <c r="S8" s="2538" t="e">
        <f>$K8</f>
        <v>#N/A</v>
      </c>
      <c r="T8" s="2535"/>
      <c r="U8" s="238"/>
      <c r="V8" s="688"/>
      <c r="W8" s="1184"/>
      <c r="X8" s="2473"/>
      <c r="Y8" s="2342" t="s">
        <v>67</v>
      </c>
      <c r="Z8" s="2473"/>
      <c r="AA8" s="2342" t="s">
        <v>67</v>
      </c>
      <c r="AB8" s="2342" t="s">
        <v>19</v>
      </c>
      <c r="AC8" s="2534"/>
      <c r="AD8" s="2425">
        <v>1</v>
      </c>
      <c r="AE8" s="2548"/>
      <c r="AF8" s="2342" t="s">
        <v>19</v>
      </c>
      <c r="AG8" s="2534"/>
      <c r="AH8" s="2425">
        <v>1</v>
      </c>
      <c r="AI8" s="2548"/>
      <c r="AJ8" s="2342" t="s">
        <v>19</v>
      </c>
      <c r="AK8" s="249"/>
      <c r="AL8" s="1264">
        <v>1</v>
      </c>
      <c r="AM8" s="1325"/>
      <c r="AN8" s="688"/>
      <c r="AO8" s="1184"/>
      <c r="AP8" s="1660"/>
      <c r="AQ8" s="1386" t="s">
        <v>67</v>
      </c>
      <c r="AR8" s="1660"/>
      <c r="AS8" s="1386" t="s">
        <v>67</v>
      </c>
      <c r="AT8" s="1275"/>
      <c r="AU8" s="2491" t="s">
        <v>473</v>
      </c>
      <c r="AV8" s="448" t="e">
        <f ca="1">STRCHECKDATE(V11:AT11)</f>
        <v>#NAME?</v>
      </c>
      <c r="AW8" s="437"/>
      <c r="AX8" s="437" t="str">
        <f t="shared" si="0"/>
        <v/>
      </c>
      <c r="AY8" s="437"/>
      <c r="AZ8" s="437"/>
      <c r="BA8" s="1082">
        <v>0</v>
      </c>
    </row>
    <row r="9" spans="1:53" ht="11.25" hidden="1" customHeight="1">
      <c r="A9" s="1290"/>
      <c r="B9" s="1290"/>
      <c r="C9" s="1290"/>
      <c r="D9" s="1290"/>
      <c r="E9" s="2469"/>
      <c r="F9" s="2469"/>
      <c r="G9" s="2469"/>
      <c r="H9" s="2469"/>
      <c r="I9" s="2471"/>
      <c r="J9" s="2471"/>
      <c r="K9" s="2470"/>
      <c r="L9" s="1291"/>
      <c r="P9" s="2472"/>
      <c r="Q9" s="2472"/>
      <c r="R9" s="2541"/>
      <c r="S9" s="2539"/>
      <c r="T9" s="2536"/>
      <c r="U9" s="238"/>
      <c r="V9" s="1320"/>
      <c r="W9" s="1324"/>
      <c r="X9" s="2473"/>
      <c r="Y9" s="2342"/>
      <c r="Z9" s="2473"/>
      <c r="AA9" s="2342"/>
      <c r="AB9" s="2342"/>
      <c r="AC9" s="2534"/>
      <c r="AD9" s="2425"/>
      <c r="AE9" s="2548"/>
      <c r="AF9" s="2342"/>
      <c r="AG9" s="2534"/>
      <c r="AH9" s="2425"/>
      <c r="AI9" s="2548"/>
      <c r="AJ9" s="2342"/>
      <c r="AK9" s="254"/>
      <c r="AL9" s="353"/>
      <c r="AM9" s="352" t="s">
        <v>474</v>
      </c>
      <c r="AN9" s="1320"/>
      <c r="AO9" s="1423"/>
      <c r="AP9" s="1320"/>
      <c r="AQ9" s="1320"/>
      <c r="AR9" s="1320"/>
      <c r="AS9" s="1320"/>
      <c r="AT9" s="1317"/>
      <c r="AU9" s="2492"/>
      <c r="AW9" s="437"/>
      <c r="AX9" s="437"/>
      <c r="AY9" s="437"/>
      <c r="AZ9" s="437"/>
      <c r="BA9" s="1082">
        <v>0</v>
      </c>
    </row>
    <row r="10" spans="1:53" ht="11.25" hidden="1" customHeight="1">
      <c r="A10" s="1290"/>
      <c r="B10" s="1290"/>
      <c r="C10" s="1290"/>
      <c r="D10" s="1290"/>
      <c r="E10" s="2469"/>
      <c r="F10" s="2469"/>
      <c r="G10" s="2469"/>
      <c r="H10" s="2469"/>
      <c r="I10" s="2471"/>
      <c r="J10" s="2471"/>
      <c r="K10" s="2470"/>
      <c r="L10" s="1291"/>
      <c r="P10" s="2472"/>
      <c r="Q10" s="2472"/>
      <c r="R10" s="2541"/>
      <c r="S10" s="2539"/>
      <c r="T10" s="2536"/>
      <c r="U10" s="238"/>
      <c r="V10" s="1320"/>
      <c r="W10" s="1324"/>
      <c r="X10" s="2473"/>
      <c r="Y10" s="2342"/>
      <c r="Z10" s="2473"/>
      <c r="AA10" s="2342"/>
      <c r="AB10" s="2342"/>
      <c r="AC10" s="2534"/>
      <c r="AD10" s="2425"/>
      <c r="AE10" s="2548"/>
      <c r="AF10" s="2342"/>
      <c r="AG10" s="232"/>
      <c r="AH10" s="352"/>
      <c r="AI10" s="352" t="s">
        <v>475</v>
      </c>
      <c r="AJ10" s="1320"/>
      <c r="AK10" s="1320"/>
      <c r="AL10" s="1320"/>
      <c r="AM10" s="1320"/>
      <c r="AN10" s="1320"/>
      <c r="AO10" s="1423"/>
      <c r="AP10" s="1320"/>
      <c r="AQ10" s="1320"/>
      <c r="AR10" s="1320"/>
      <c r="AS10" s="1320"/>
      <c r="AT10" s="1317"/>
      <c r="AU10" s="2492"/>
      <c r="AW10" s="437"/>
      <c r="AX10" s="437"/>
      <c r="AY10" s="437"/>
      <c r="AZ10" s="437"/>
      <c r="BA10" s="1082">
        <v>0</v>
      </c>
    </row>
    <row r="11" spans="1:53" ht="11.25" hidden="1" customHeight="1">
      <c r="A11" s="1290"/>
      <c r="B11" s="1290"/>
      <c r="C11" s="1290"/>
      <c r="D11" s="1290"/>
      <c r="E11" s="2469"/>
      <c r="F11" s="2469"/>
      <c r="G11" s="2469"/>
      <c r="H11" s="2469"/>
      <c r="I11" s="2471"/>
      <c r="J11" s="2471"/>
      <c r="K11" s="2470"/>
      <c r="L11" s="1291"/>
      <c r="P11" s="2472"/>
      <c r="Q11" s="2472"/>
      <c r="R11" s="2541"/>
      <c r="S11" s="2540"/>
      <c r="T11" s="2537"/>
      <c r="U11" s="238"/>
      <c r="V11" s="1320"/>
      <c r="W11" s="1323" t="str">
        <f>X8&amp;"-"&amp;Z8</f>
        <v>-</v>
      </c>
      <c r="X11" s="2474"/>
      <c r="Y11" s="2342"/>
      <c r="Z11" s="2474"/>
      <c r="AA11" s="2342"/>
      <c r="AB11" s="2342"/>
      <c r="AC11" s="250"/>
      <c r="AD11" s="252"/>
      <c r="AE11" s="352" t="s">
        <v>476</v>
      </c>
      <c r="AF11" s="1320"/>
      <c r="AG11" s="1320"/>
      <c r="AH11" s="1320"/>
      <c r="AI11" s="1320"/>
      <c r="AJ11" s="1320"/>
      <c r="AK11" s="1320"/>
      <c r="AL11" s="1320"/>
      <c r="AM11" s="1320"/>
      <c r="AN11" s="1320"/>
      <c r="AO11" s="1321" t="str">
        <f>AP8&amp;"-"&amp;AR8</f>
        <v>-</v>
      </c>
      <c r="AP11" s="1320"/>
      <c r="AQ11" s="1320"/>
      <c r="AR11" s="1320"/>
      <c r="AS11" s="1320"/>
      <c r="AT11" s="1276"/>
      <c r="AU11" s="2492"/>
      <c r="AW11" s="437"/>
      <c r="AX11" s="437" t="str">
        <f t="shared" ref="AX11:AX17" si="1">IF(T11="","",T11)</f>
        <v/>
      </c>
      <c r="AY11" s="437"/>
      <c r="AZ11" s="437"/>
      <c r="BA11" s="1082">
        <v>0</v>
      </c>
    </row>
    <row r="12" spans="1:53" ht="11.25" hidden="1" customHeight="1">
      <c r="A12" s="1290"/>
      <c r="B12" s="1290"/>
      <c r="C12" s="1290"/>
      <c r="D12" s="1290"/>
      <c r="E12" s="2469"/>
      <c r="F12" s="2469"/>
      <c r="G12" s="2469"/>
      <c r="H12" s="2469"/>
      <c r="I12" s="2471"/>
      <c r="J12" s="2470"/>
      <c r="K12" s="1290"/>
      <c r="L12" s="1291"/>
      <c r="P12" s="2472"/>
      <c r="Q12" s="2472"/>
      <c r="R12" s="293"/>
      <c r="S12" s="1205"/>
      <c r="T12" s="225" t="s">
        <v>477</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493"/>
      <c r="AW12" s="437"/>
      <c r="AX12" s="437" t="str">
        <f t="shared" si="1"/>
        <v>Добавить строку</v>
      </c>
      <c r="AY12" s="437"/>
      <c r="AZ12" s="437"/>
      <c r="BA12" s="1082">
        <v>0</v>
      </c>
    </row>
    <row r="13" spans="1:53" s="1569" customFormat="1" ht="0.75" hidden="1" customHeight="1">
      <c r="A13" s="1270"/>
      <c r="B13" s="1270"/>
      <c r="C13" s="1270"/>
      <c r="D13" s="1270"/>
      <c r="E13" s="2469"/>
      <c r="F13" s="2469"/>
      <c r="G13" s="2469"/>
      <c r="H13" s="2469"/>
      <c r="I13" s="2470"/>
      <c r="J13" s="1270"/>
      <c r="K13" s="1270"/>
      <c r="L13" s="1273"/>
      <c r="M13" s="447"/>
      <c r="N13" s="447"/>
      <c r="O13" s="447"/>
      <c r="P13" s="2472"/>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469"/>
      <c r="F14" s="2469"/>
      <c r="G14" s="2469"/>
      <c r="H14" s="2468"/>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469"/>
      <c r="F15" s="2469"/>
      <c r="G15" s="2468"/>
      <c r="H15" s="1241"/>
      <c r="I15" s="1241"/>
      <c r="J15" s="1241"/>
      <c r="K15" s="1241"/>
      <c r="L15" s="1266"/>
      <c r="M15" s="1242"/>
      <c r="N15" s="1242"/>
      <c r="P15" s="1243"/>
      <c r="Q15" s="1244"/>
      <c r="R15" s="1243"/>
      <c r="S15" s="1249"/>
      <c r="T15" s="1252" t="s">
        <v>169</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469"/>
      <c r="F16" s="2468"/>
      <c r="G16" s="1241"/>
      <c r="H16" s="1241"/>
      <c r="I16" s="1241"/>
      <c r="J16" s="1241"/>
      <c r="K16" s="1241"/>
      <c r="L16" s="1266"/>
      <c r="M16" s="1248"/>
      <c r="N16" s="1248"/>
      <c r="P16" s="1243"/>
      <c r="Q16" s="1244"/>
      <c r="R16" s="1243"/>
      <c r="S16" s="1249"/>
      <c r="T16" s="1252" t="s">
        <v>170</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468"/>
      <c r="F17" s="1270"/>
      <c r="G17" s="1270"/>
      <c r="H17" s="1270"/>
      <c r="I17" s="1270"/>
      <c r="J17" s="1270"/>
      <c r="K17" s="1270"/>
      <c r="L17" s="1273"/>
      <c r="M17" s="1248"/>
      <c r="N17" s="1248"/>
      <c r="O17" s="455"/>
      <c r="P17" s="317"/>
      <c r="Q17" s="1271"/>
      <c r="R17" s="317"/>
      <c r="S17" s="1249"/>
      <c r="T17" s="1252" t="s">
        <v>171</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67</v>
      </c>
      <c r="AR19" s="1662"/>
      <c r="AS19" s="1387" t="s">
        <v>67</v>
      </c>
      <c r="BA19" s="1082">
        <v>0</v>
      </c>
    </row>
    <row r="20" spans="1:53" ht="14.25" hidden="1" customHeight="1">
      <c r="AV20" s="433"/>
      <c r="AW20" s="433"/>
      <c r="AX20" s="433"/>
      <c r="AY20" s="433"/>
      <c r="AZ20" s="433"/>
      <c r="BA20" s="1082">
        <v>0</v>
      </c>
    </row>
    <row r="21" spans="1:53" ht="14.25" hidden="1" customHeight="1">
      <c r="O21" s="1294" t="s">
        <v>421</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422</v>
      </c>
      <c r="P23" s="1435"/>
      <c r="Q23" s="1437"/>
      <c r="R23" s="1437"/>
      <c r="Y23" s="1434" t="s">
        <v>424</v>
      </c>
      <c r="AA23" s="1434" t="s">
        <v>425</v>
      </c>
      <c r="AB23" s="1434" t="s">
        <v>478</v>
      </c>
      <c r="AE23" s="1434" t="s">
        <v>479</v>
      </c>
      <c r="AF23" s="1434" t="s">
        <v>478</v>
      </c>
      <c r="AI23" s="1434" t="s">
        <v>480</v>
      </c>
      <c r="AJ23" s="1434" t="s">
        <v>478</v>
      </c>
      <c r="AM23" s="1434" t="s">
        <v>481</v>
      </c>
      <c r="AQ23" s="1434" t="s">
        <v>424</v>
      </c>
      <c r="AS23" s="1434" t="s">
        <v>425</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4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49"/>
      <c r="U27" s="2449"/>
      <c r="V27" s="2449"/>
      <c r="W27" s="2449"/>
      <c r="X27" s="2449"/>
      <c r="Y27" s="2449"/>
      <c r="Z27" s="2449"/>
      <c r="AA27" s="2449"/>
      <c r="AB27" s="2449"/>
      <c r="AC27" s="2449"/>
      <c r="AD27" s="2449"/>
      <c r="AE27" s="2449"/>
      <c r="AF27" s="2449"/>
      <c r="AG27" s="2449"/>
      <c r="AH27" s="2449"/>
      <c r="AI27" s="2449"/>
      <c r="AJ27" s="2449"/>
      <c r="AK27" s="2449"/>
      <c r="AL27" s="2449"/>
      <c r="AM27" s="2449"/>
      <c r="AN27" s="2449"/>
      <c r="AO27" s="2449"/>
      <c r="AP27" s="2449"/>
      <c r="AQ27" s="2449"/>
      <c r="AR27" s="2449"/>
      <c r="AS27" s="1170"/>
      <c r="BA27" s="1082">
        <v>26</v>
      </c>
    </row>
    <row r="28" spans="1:53" ht="14.65" customHeight="1">
      <c r="Q28" s="229"/>
      <c r="R28" s="313"/>
      <c r="S28" s="2421" t="str">
        <f>IF(org=0,"Не определено",org)</f>
        <v>МУП "Городские тепловые сети" МО  "город Курчатов"</v>
      </c>
      <c r="T28" s="2421"/>
      <c r="U28" s="2421"/>
      <c r="V28" s="2421"/>
      <c r="W28" s="2421"/>
      <c r="X28" s="2421"/>
      <c r="Y28" s="2421"/>
      <c r="Z28" s="2421"/>
      <c r="AA28" s="2421"/>
      <c r="AB28" s="2421"/>
      <c r="AC28" s="2421"/>
      <c r="AD28" s="2421"/>
      <c r="AE28" s="2421"/>
      <c r="AF28" s="2421"/>
      <c r="AG28" s="2421"/>
      <c r="AH28" s="2421"/>
      <c r="AI28" s="2421"/>
      <c r="AJ28" s="2421"/>
      <c r="AK28" s="2421"/>
      <c r="AL28" s="2421"/>
      <c r="AM28" s="2421"/>
      <c r="AN28" s="2421"/>
      <c r="AO28" s="2421"/>
      <c r="AP28" s="2421"/>
      <c r="AQ28" s="2421"/>
      <c r="AR28" s="2421"/>
      <c r="AS28" s="1170"/>
      <c r="BA28" s="1082">
        <v>14</v>
      </c>
    </row>
    <row r="29" spans="1:53" ht="14.25" hidden="1"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459" t="s">
        <v>42</v>
      </c>
      <c r="T30" s="2459"/>
      <c r="U30" s="1299"/>
      <c r="V30" s="2461" t="str">
        <f>IF(TITLE_NAME_OR_PR_CHANGE="",IF(TITLE_NAME_OR_PR="","",TITLE_NAME_OR_PR),TITLE_NAME_OR_PR_CHANGE)</f>
        <v/>
      </c>
      <c r="W30" s="2461"/>
      <c r="X30" s="2461"/>
      <c r="Y30" s="2461"/>
      <c r="Z30" s="2461"/>
      <c r="AA30" s="264"/>
      <c r="AB30" s="2461" t="str">
        <f>IF(TITLE_NAME_OR_PR_CHANGE="",IF(TITLE_NAME_OR_PR="","",TITLE_NAME_OR_PR),TITLE_NAME_OR_PR_CHANGE)</f>
        <v/>
      </c>
      <c r="AC30" s="2461"/>
      <c r="AD30" s="2461"/>
      <c r="AE30" s="2461"/>
      <c r="AF30" s="2461"/>
      <c r="AG30" s="2461"/>
      <c r="AH30" s="2461"/>
      <c r="AI30" s="2461"/>
      <c r="AJ30" s="2461"/>
      <c r="AK30" s="2461"/>
      <c r="AL30" s="2461"/>
      <c r="AM30" s="2461"/>
      <c r="AN30" s="2461"/>
      <c r="AO30" s="2461"/>
      <c r="AP30" s="2461"/>
      <c r="AQ30" s="2461"/>
      <c r="AR30" s="2461"/>
      <c r="AS30" s="264"/>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459" t="s">
        <v>427</v>
      </c>
      <c r="T31" s="2459"/>
      <c r="U31" s="1299"/>
      <c r="V31" s="2460">
        <f>IF(TITLE_DATE_PR_CHANGE="",IF(TITLE_DATE_PR="","",TITLE_DATE_PR),TITLE_DATE_PR_CHANGE)</f>
        <v>45775</v>
      </c>
      <c r="W31" s="2460"/>
      <c r="X31" s="2460"/>
      <c r="Y31" s="2460"/>
      <c r="Z31" s="2460"/>
      <c r="AA31" s="264"/>
      <c r="AB31" s="2460">
        <f>IF(TITLE_DATE_PR_CHANGE="",IF(TITLE_DATE_PR="","",TITLE_DATE_PR),TITLE_DATE_PR_CHANGE)</f>
        <v>45775</v>
      </c>
      <c r="AC31" s="2460"/>
      <c r="AD31" s="2460"/>
      <c r="AE31" s="2460"/>
      <c r="AF31" s="2460"/>
      <c r="AG31" s="2460"/>
      <c r="AH31" s="2460"/>
      <c r="AI31" s="2460"/>
      <c r="AJ31" s="2460"/>
      <c r="AK31" s="2460"/>
      <c r="AL31" s="2460"/>
      <c r="AM31" s="2460"/>
      <c r="AN31" s="2460"/>
      <c r="AO31" s="2460"/>
      <c r="AP31" s="2460"/>
      <c r="AQ31" s="2460"/>
      <c r="AR31" s="2460"/>
      <c r="AS31" s="264"/>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459" t="s">
        <v>428</v>
      </c>
      <c r="T32" s="2459"/>
      <c r="U32" s="1299"/>
      <c r="V32" s="2461" t="str">
        <f>IF(TITLE_NUMBER_PR_CHANGE="",IF(TITLE_NUMBER_PR="","",TITLE_NUMBER_PR),TITLE_NUMBER_PR_CHANGE)</f>
        <v>03.5-1382</v>
      </c>
      <c r="W32" s="2461"/>
      <c r="X32" s="2461"/>
      <c r="Y32" s="2461"/>
      <c r="Z32" s="2461"/>
      <c r="AA32" s="264"/>
      <c r="AB32" s="2461" t="str">
        <f>IF(TITLE_NUMBER_PR_CHANGE="",IF(TITLE_NUMBER_PR="","",TITLE_NUMBER_PR),TITLE_NUMBER_PR_CHANGE)</f>
        <v>03.5-1382</v>
      </c>
      <c r="AC32" s="2461"/>
      <c r="AD32" s="2461"/>
      <c r="AE32" s="2461"/>
      <c r="AF32" s="2461"/>
      <c r="AG32" s="2461"/>
      <c r="AH32" s="2461"/>
      <c r="AI32" s="2461"/>
      <c r="AJ32" s="2461"/>
      <c r="AK32" s="2461"/>
      <c r="AL32" s="2461"/>
      <c r="AM32" s="2461"/>
      <c r="AN32" s="2461"/>
      <c r="AO32" s="2461"/>
      <c r="AP32" s="2461"/>
      <c r="AQ32" s="2461"/>
      <c r="AR32" s="2461"/>
      <c r="AS32" s="264"/>
      <c r="AT32" s="264"/>
      <c r="AU32" s="218"/>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459" t="s">
        <v>43</v>
      </c>
      <c r="T33" s="2459"/>
      <c r="U33" s="1299"/>
      <c r="V33" s="2461" t="str">
        <f>IF(TITLE_IST_PUB_CHANGE="",IF(TITLE_IST_PUB="","",TITLE_IST_PUB),TITLE_IST_PUB_CHANGE)</f>
        <v/>
      </c>
      <c r="W33" s="2461"/>
      <c r="X33" s="2461"/>
      <c r="Y33" s="2461"/>
      <c r="Z33" s="2461"/>
      <c r="AA33" s="264"/>
      <c r="AB33" s="2461" t="str">
        <f>IF(TITLE_IST_PUB_CHANGE="",IF(TITLE_IST_PUB="","",TITLE_IST_PUB),TITLE_IST_PUB_CHANGE)</f>
        <v/>
      </c>
      <c r="AC33" s="2461"/>
      <c r="AD33" s="2461"/>
      <c r="AE33" s="2461"/>
      <c r="AF33" s="2461"/>
      <c r="AG33" s="2461"/>
      <c r="AH33" s="2461"/>
      <c r="AI33" s="2461"/>
      <c r="AJ33" s="2461"/>
      <c r="AK33" s="2461"/>
      <c r="AL33" s="2461"/>
      <c r="AM33" s="2461"/>
      <c r="AN33" s="2461"/>
      <c r="AO33" s="2461"/>
      <c r="AP33" s="2461"/>
      <c r="AQ33" s="2461"/>
      <c r="AR33" s="2461"/>
      <c r="AS33" s="264"/>
      <c r="AT33" s="264"/>
      <c r="AU33" s="218"/>
      <c r="AV33" s="305"/>
      <c r="AW33" s="305"/>
      <c r="AX33" s="305"/>
      <c r="AY33" s="305"/>
      <c r="AZ33" s="305"/>
      <c r="BA33" s="355">
        <v>0</v>
      </c>
    </row>
    <row r="34" spans="1:53" ht="14.25"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customHeight="1">
      <c r="A35" s="1295"/>
      <c r="B35" s="1295"/>
      <c r="C35" s="1295"/>
      <c r="D35" s="1295"/>
      <c r="E35" s="1295"/>
      <c r="F35" s="1295"/>
      <c r="G35" s="1295"/>
      <c r="H35" s="1295"/>
      <c r="I35" s="1295"/>
      <c r="J35" s="1295"/>
      <c r="K35" s="1295"/>
      <c r="L35" s="1296"/>
      <c r="M35" s="1295"/>
      <c r="N35" s="1295"/>
      <c r="O35" s="1295"/>
      <c r="P35" s="1295"/>
      <c r="Q35" s="1295"/>
      <c r="S35" s="2459" t="s">
        <v>427</v>
      </c>
      <c r="T35" s="2459"/>
      <c r="U35" s="1299"/>
      <c r="V35" s="2460">
        <f>IF(TITLE_DATE_PR_CHANGE="",IF(TITLE_DATE_PR="","",TITLE_DATE_PR),TITLE_DATE_PR_CHANGE)</f>
        <v>45775</v>
      </c>
      <c r="W35" s="2460"/>
      <c r="X35" s="2460"/>
      <c r="Y35" s="2460"/>
      <c r="Z35" s="2460"/>
      <c r="AA35" s="264"/>
      <c r="AB35" s="2460">
        <f>IF(TITLE_DATE_PR_CHANGE="",IF(TITLE_DATE_PR="","",TITLE_DATE_PR),TITLE_DATE_PR_CHANGE)</f>
        <v>45775</v>
      </c>
      <c r="AC35" s="2460"/>
      <c r="AD35" s="2460"/>
      <c r="AE35" s="2460"/>
      <c r="AF35" s="2460"/>
      <c r="AG35" s="2460"/>
      <c r="AH35" s="2460"/>
      <c r="AI35" s="2460"/>
      <c r="AJ35" s="2460"/>
      <c r="AK35" s="2460"/>
      <c r="AL35" s="2460"/>
      <c r="AM35" s="2460"/>
      <c r="AN35" s="2460"/>
      <c r="AO35" s="2460"/>
      <c r="AP35" s="2460"/>
      <c r="AQ35" s="2460"/>
      <c r="AR35" s="2460"/>
      <c r="AS35" s="264"/>
      <c r="AT35" s="264"/>
      <c r="AU35" s="218"/>
      <c r="AV35" s="305"/>
      <c r="AW35" s="305"/>
      <c r="AX35" s="305"/>
      <c r="AY35" s="305"/>
      <c r="AZ35" s="305"/>
      <c r="BA35" s="355">
        <v>0</v>
      </c>
    </row>
    <row r="36" spans="1:53" s="1778" customFormat="1" ht="18" customHeight="1">
      <c r="A36" s="1295"/>
      <c r="B36" s="1295"/>
      <c r="C36" s="1295"/>
      <c r="D36" s="1295"/>
      <c r="E36" s="1295"/>
      <c r="F36" s="1295"/>
      <c r="G36" s="1295"/>
      <c r="H36" s="1295"/>
      <c r="I36" s="1295"/>
      <c r="J36" s="1295"/>
      <c r="K36" s="1295"/>
      <c r="L36" s="1296"/>
      <c r="M36" s="1295"/>
      <c r="N36" s="1295"/>
      <c r="O36" s="1295"/>
      <c r="P36" s="1295"/>
      <c r="Q36" s="1295"/>
      <c r="S36" s="2459" t="s">
        <v>428</v>
      </c>
      <c r="T36" s="2459"/>
      <c r="U36" s="1299"/>
      <c r="V36" s="2461" t="str">
        <f>IF(TITLE_NUMBER_PR_CHANGE="",IF(TITLE_NUMBER_PR="","",TITLE_NUMBER_PR),TITLE_NUMBER_PR_CHANGE)</f>
        <v>03.5-1382</v>
      </c>
      <c r="W36" s="2461"/>
      <c r="X36" s="2461"/>
      <c r="Y36" s="2461"/>
      <c r="Z36" s="2461"/>
      <c r="AA36" s="264"/>
      <c r="AB36" s="2461" t="str">
        <f>IF(TITLE_NUMBER_PR_CHANGE="",IF(TITLE_NUMBER_PR="","",TITLE_NUMBER_PR),TITLE_NUMBER_PR_CHANGE)</f>
        <v>03.5-1382</v>
      </c>
      <c r="AC36" s="2461"/>
      <c r="AD36" s="2461"/>
      <c r="AE36" s="2461"/>
      <c r="AF36" s="2461"/>
      <c r="AG36" s="2461"/>
      <c r="AH36" s="2461"/>
      <c r="AI36" s="2461"/>
      <c r="AJ36" s="2461"/>
      <c r="AK36" s="2461"/>
      <c r="AL36" s="2461"/>
      <c r="AM36" s="2461"/>
      <c r="AN36" s="2461"/>
      <c r="AO36" s="2461"/>
      <c r="AP36" s="2461"/>
      <c r="AQ36" s="2461"/>
      <c r="AR36" s="2461"/>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431</v>
      </c>
      <c r="AB37" s="264"/>
      <c r="AC37" s="264"/>
      <c r="AD37" s="264"/>
      <c r="AE37" s="264"/>
      <c r="AF37" s="264"/>
      <c r="AG37" s="264"/>
      <c r="AH37" s="264"/>
      <c r="AI37" s="264"/>
      <c r="AJ37" s="264"/>
      <c r="AK37" s="264"/>
      <c r="AL37" s="264"/>
      <c r="AM37" s="264"/>
      <c r="AN37" s="264"/>
      <c r="AO37" s="264"/>
      <c r="AP37" s="264"/>
      <c r="AQ37" s="264"/>
      <c r="AR37" s="264"/>
      <c r="AS37" s="216" t="s">
        <v>431</v>
      </c>
      <c r="AV37" s="305"/>
      <c r="AW37" s="305"/>
      <c r="AX37" s="305"/>
      <c r="AY37" s="305"/>
      <c r="AZ37" s="305"/>
      <c r="BA37" s="355">
        <v>1</v>
      </c>
    </row>
    <row r="38" spans="1:53" ht="14.65" customHeight="1">
      <c r="Q38" s="229"/>
      <c r="R38" s="313"/>
      <c r="S38" s="1202"/>
      <c r="T38" s="300"/>
      <c r="U38" s="1171"/>
      <c r="V38" s="2480"/>
      <c r="W38" s="2480"/>
      <c r="X38" s="2480"/>
      <c r="Y38" s="2480"/>
      <c r="Z38" s="2480"/>
      <c r="AA38" s="2480"/>
      <c r="AB38" s="2480"/>
      <c r="AC38" s="2480"/>
      <c r="AD38" s="2480"/>
      <c r="AE38" s="2480"/>
      <c r="AF38" s="2480"/>
      <c r="AG38" s="2480"/>
      <c r="AH38" s="2480"/>
      <c r="AI38" s="2480"/>
      <c r="AJ38" s="2480"/>
      <c r="AK38" s="2480"/>
      <c r="AL38" s="2480"/>
      <c r="AM38" s="2480"/>
      <c r="AN38" s="2480"/>
      <c r="AO38" s="2480"/>
      <c r="AP38" s="2480"/>
      <c r="AQ38" s="2480"/>
      <c r="AR38" s="2480"/>
      <c r="AS38" s="2480"/>
      <c r="BA38" s="1082">
        <v>14</v>
      </c>
    </row>
    <row r="39" spans="1:53" ht="14.65" customHeight="1">
      <c r="Q39" s="229"/>
      <c r="R39" s="313"/>
      <c r="S39" s="2332" t="s">
        <v>307</v>
      </c>
      <c r="T39" s="2332"/>
      <c r="U39" s="2332"/>
      <c r="V39" s="2332"/>
      <c r="W39" s="2332"/>
      <c r="X39" s="2332"/>
      <c r="Y39" s="2332"/>
      <c r="Z39" s="2332"/>
      <c r="AA39" s="2332"/>
      <c r="AB39" s="2401"/>
      <c r="AC39" s="2401"/>
      <c r="AD39" s="2401"/>
      <c r="AE39" s="2401"/>
      <c r="AF39" s="2332"/>
      <c r="AG39" s="2332"/>
      <c r="AH39" s="2332"/>
      <c r="AI39" s="2332"/>
      <c r="AJ39" s="2332"/>
      <c r="AK39" s="2332"/>
      <c r="AL39" s="2332"/>
      <c r="AM39" s="2332"/>
      <c r="AN39" s="2332"/>
      <c r="AO39" s="2332"/>
      <c r="AP39" s="2332"/>
      <c r="AQ39" s="2332"/>
      <c r="AR39" s="2332"/>
      <c r="AS39" s="2332"/>
      <c r="AT39" s="2332"/>
      <c r="AU39" s="2332" t="s">
        <v>308</v>
      </c>
      <c r="BA39" s="1082">
        <v>14</v>
      </c>
    </row>
    <row r="40" spans="1:53" ht="14.65" customHeight="1">
      <c r="Q40" s="229"/>
      <c r="R40" s="313"/>
      <c r="S40" s="2481" t="s">
        <v>89</v>
      </c>
      <c r="T40" s="2429" t="s">
        <v>482</v>
      </c>
      <c r="U40" s="239"/>
      <c r="V40" s="2483"/>
      <c r="W40" s="2483"/>
      <c r="X40" s="2483"/>
      <c r="Y40" s="2483"/>
      <c r="Z40" s="2484"/>
      <c r="AA40" s="2543" t="s">
        <v>434</v>
      </c>
      <c r="AB40" s="2527" t="s">
        <v>483</v>
      </c>
      <c r="AC40" s="2508"/>
      <c r="AD40" s="2508"/>
      <c r="AE40" s="2528"/>
      <c r="AF40" s="2508" t="s">
        <v>484</v>
      </c>
      <c r="AG40" s="2508"/>
      <c r="AH40" s="2508"/>
      <c r="AI40" s="2528"/>
      <c r="AJ40" s="2527" t="s">
        <v>485</v>
      </c>
      <c r="AK40" s="2508"/>
      <c r="AL40" s="2508"/>
      <c r="AM40" s="2528"/>
      <c r="AN40" s="2527" t="s">
        <v>433</v>
      </c>
      <c r="AO40" s="2508"/>
      <c r="AP40" s="2483"/>
      <c r="AQ40" s="2483"/>
      <c r="AR40" s="2484"/>
      <c r="AS40" s="2485" t="s">
        <v>434</v>
      </c>
      <c r="AT40" s="2488" t="s">
        <v>436</v>
      </c>
      <c r="AU40" s="2332"/>
      <c r="BA40" s="1082">
        <v>14</v>
      </c>
    </row>
    <row r="41" spans="1:53" ht="35.65" customHeight="1">
      <c r="Q41" s="229"/>
      <c r="R41" s="313"/>
      <c r="S41" s="2481"/>
      <c r="T41" s="2429"/>
      <c r="U41" s="961"/>
      <c r="V41" s="2332" t="s">
        <v>486</v>
      </c>
      <c r="W41" s="2332"/>
      <c r="X41" s="2402" t="s">
        <v>440</v>
      </c>
      <c r="Y41" s="2520"/>
      <c r="Z41" s="2403"/>
      <c r="AA41" s="2544"/>
      <c r="AB41" s="2529"/>
      <c r="AC41" s="2530"/>
      <c r="AD41" s="2530"/>
      <c r="AE41" s="2542"/>
      <c r="AF41" s="2530"/>
      <c r="AG41" s="2530"/>
      <c r="AH41" s="2530"/>
      <c r="AI41" s="2542"/>
      <c r="AJ41" s="2529"/>
      <c r="AK41" s="2530"/>
      <c r="AL41" s="2530"/>
      <c r="AM41" s="2530"/>
      <c r="AN41" s="2332" t="s">
        <v>486</v>
      </c>
      <c r="AO41" s="2332"/>
      <c r="AP41" s="2520" t="s">
        <v>440</v>
      </c>
      <c r="AQ41" s="2520"/>
      <c r="AR41" s="2403"/>
      <c r="AS41" s="2486"/>
      <c r="AT41" s="2489"/>
      <c r="AU41" s="2332"/>
      <c r="BA41" s="1082">
        <v>34</v>
      </c>
    </row>
    <row r="42" spans="1:53" ht="14.65" customHeight="1">
      <c r="Q42" s="229"/>
      <c r="R42" s="313"/>
      <c r="S42" s="2481"/>
      <c r="T42" s="2429"/>
      <c r="U42" s="961"/>
      <c r="V42" s="2547" t="str">
        <f>IF($AN$42&lt;&gt;"",$AN$42,"")</f>
        <v/>
      </c>
      <c r="W42" s="2547"/>
      <c r="X42" s="2407"/>
      <c r="Y42" s="2521"/>
      <c r="Z42" s="2408"/>
      <c r="AA42" s="2544"/>
      <c r="AB42" s="2529"/>
      <c r="AC42" s="2530"/>
      <c r="AD42" s="2530"/>
      <c r="AE42" s="2542"/>
      <c r="AF42" s="2530"/>
      <c r="AG42" s="2530"/>
      <c r="AH42" s="2530"/>
      <c r="AI42" s="2542"/>
      <c r="AJ42" s="2529"/>
      <c r="AK42" s="2530"/>
      <c r="AL42" s="2530"/>
      <c r="AM42" s="2530"/>
      <c r="AN42" s="2546"/>
      <c r="AO42" s="2546"/>
      <c r="AP42" s="2521"/>
      <c r="AQ42" s="2521"/>
      <c r="AR42" s="2408"/>
      <c r="AS42" s="2486"/>
      <c r="AT42" s="2489"/>
      <c r="AU42" s="2332"/>
      <c r="BA42" s="1082">
        <v>14</v>
      </c>
    </row>
    <row r="43" spans="1:53" ht="14.65" customHeight="1">
      <c r="A43" s="1297"/>
      <c r="B43" s="1297" t="s">
        <v>136</v>
      </c>
      <c r="C43" s="1297" t="s">
        <v>137</v>
      </c>
      <c r="D43" s="1297" t="s">
        <v>138</v>
      </c>
      <c r="E43" s="1291" t="s">
        <v>441</v>
      </c>
      <c r="F43" s="1291" t="s">
        <v>442</v>
      </c>
      <c r="G43" s="1291" t="s">
        <v>443</v>
      </c>
      <c r="H43" s="1291" t="s">
        <v>444</v>
      </c>
      <c r="I43" s="1291" t="s">
        <v>445</v>
      </c>
      <c r="J43" s="1291" t="s">
        <v>446</v>
      </c>
      <c r="K43" s="1291" t="s">
        <v>447</v>
      </c>
      <c r="L43" s="1291" t="s">
        <v>422</v>
      </c>
      <c r="Q43" s="229"/>
      <c r="R43" s="313"/>
      <c r="S43" s="2481"/>
      <c r="T43" s="2429"/>
      <c r="U43" s="240"/>
      <c r="V43" s="1257" t="s">
        <v>487</v>
      </c>
      <c r="W43" s="1257" t="s">
        <v>488</v>
      </c>
      <c r="X43" s="1265" t="s">
        <v>450</v>
      </c>
      <c r="Y43" s="2434" t="s">
        <v>451</v>
      </c>
      <c r="Z43" s="2448"/>
      <c r="AA43" s="2545"/>
      <c r="AB43" s="2531"/>
      <c r="AC43" s="2532"/>
      <c r="AD43" s="2532"/>
      <c r="AE43" s="2533"/>
      <c r="AF43" s="2532"/>
      <c r="AG43" s="2532"/>
      <c r="AH43" s="2532"/>
      <c r="AI43" s="2533"/>
      <c r="AJ43" s="2531"/>
      <c r="AK43" s="2532"/>
      <c r="AL43" s="2532"/>
      <c r="AM43" s="2533"/>
      <c r="AN43" s="1785" t="s">
        <v>487</v>
      </c>
      <c r="AO43" s="1785" t="s">
        <v>488</v>
      </c>
      <c r="AP43" s="1265" t="s">
        <v>450</v>
      </c>
      <c r="AQ43" s="2434" t="s">
        <v>451</v>
      </c>
      <c r="AR43" s="2448"/>
      <c r="AS43" s="2487"/>
      <c r="AT43" s="2490"/>
      <c r="AU43" s="2332"/>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110</v>
      </c>
      <c r="T44" s="1182" t="s">
        <v>111</v>
      </c>
      <c r="U44" s="1172" t="str">
        <f ca="1">OFFSET(U44,0,-1)</f>
        <v>2</v>
      </c>
      <c r="V44" s="1262">
        <f ca="1">OFFSET(V44,0,-1)+1</f>
        <v>3</v>
      </c>
      <c r="W44" s="1262">
        <f ca="1">OFFSET(W44,0,-1)+1</f>
        <v>4</v>
      </c>
      <c r="X44" s="1262">
        <f ca="1">OFFSET(X44,0,-1)+1</f>
        <v>5</v>
      </c>
      <c r="Y44" s="2479">
        <f ca="1">OFFSET(Y44,0,-1)+1</f>
        <v>6</v>
      </c>
      <c r="Z44" s="2479"/>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479">
        <f ca="1">OFFSET(AQ44,0,-1)+1</f>
        <v>4</v>
      </c>
      <c r="AR44" s="2479"/>
      <c r="AS44" s="1262">
        <f ca="1">OFFSET(AS44,0,-2)+1</f>
        <v>5</v>
      </c>
      <c r="AT44" s="1172">
        <f ca="1">OFFSET(AT44,0,-1)</f>
        <v>5</v>
      </c>
      <c r="AU44" s="1262">
        <f ca="1">OFFSET(AU44,0,-1)+1</f>
        <v>6</v>
      </c>
      <c r="AV44" s="448"/>
      <c r="AW44" s="448"/>
      <c r="AX44" s="448"/>
      <c r="AY44" s="448"/>
      <c r="AZ44" s="448"/>
      <c r="BA44" s="433">
        <v>0</v>
      </c>
    </row>
    <row r="45" spans="1:53" ht="107.25" customHeight="1">
      <c r="A45" s="1290" t="s">
        <v>207</v>
      </c>
      <c r="B45" s="1290"/>
      <c r="C45" s="1290"/>
      <c r="D45" s="1290"/>
      <c r="E45" s="2468">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124</v>
      </c>
      <c r="U45" s="238"/>
      <c r="V45" s="2463"/>
      <c r="W45" s="2463"/>
      <c r="X45" s="2463"/>
      <c r="Y45" s="2463"/>
      <c r="Z45" s="2463"/>
      <c r="AA45" s="2464"/>
      <c r="AB45" s="2462" t="str">
        <f>INDEX(PT_DIFFERENTIATION_NTAR,MATCH(A45,PT_DIFFERENTIATION_NTAR_ID,0))</f>
        <v/>
      </c>
      <c r="AC45" s="2463"/>
      <c r="AD45" s="2463"/>
      <c r="AE45" s="2463"/>
      <c r="AF45" s="2463"/>
      <c r="AG45" s="2463"/>
      <c r="AH45" s="2463"/>
      <c r="AI45" s="2463"/>
      <c r="AJ45" s="2463"/>
      <c r="AK45" s="2463"/>
      <c r="AL45" s="2463"/>
      <c r="AM45" s="2463"/>
      <c r="AN45" s="2463"/>
      <c r="AO45" s="2463"/>
      <c r="AP45" s="2463"/>
      <c r="AQ45" s="2463"/>
      <c r="AR45" s="2463"/>
      <c r="AS45" s="2463"/>
      <c r="AT45" s="2464"/>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207</v>
      </c>
      <c r="B46" s="1290" t="s">
        <v>208</v>
      </c>
      <c r="C46" s="1290"/>
      <c r="D46" s="1290"/>
      <c r="E46" s="2469"/>
      <c r="F46" s="2468">
        <v>1</v>
      </c>
      <c r="G46" s="1290"/>
      <c r="H46" s="1290"/>
      <c r="I46" s="1290"/>
      <c r="J46" s="1290"/>
      <c r="K46" s="1290"/>
      <c r="L46" s="1291"/>
      <c r="M46" s="1292"/>
      <c r="N46" s="1292"/>
      <c r="O46" s="1292"/>
      <c r="P46" s="1337"/>
      <c r="Q46" s="1338"/>
      <c r="R46" s="290"/>
      <c r="S46" s="1263" t="str">
        <f>INDEX(PT_DIFFERENTIATION_NUM_TER,MATCH(B46,PT_DIFFERENTIATION_TER_ID,0))</f>
        <v>.</v>
      </c>
      <c r="T46" s="246" t="s">
        <v>404</v>
      </c>
      <c r="U46" s="238"/>
      <c r="V46" s="2463"/>
      <c r="W46" s="2463"/>
      <c r="X46" s="2463"/>
      <c r="Y46" s="2463"/>
      <c r="Z46" s="2463"/>
      <c r="AA46" s="2464"/>
      <c r="AB46" s="2462" t="str">
        <f>INDEX(PT_DIFFERENTIATION_TER,MATCH(B46,PT_DIFFERENTIATION_TER_ID,0))</f>
        <v/>
      </c>
      <c r="AC46" s="2463"/>
      <c r="AD46" s="2463"/>
      <c r="AE46" s="2463"/>
      <c r="AF46" s="2463"/>
      <c r="AG46" s="2463"/>
      <c r="AH46" s="2463"/>
      <c r="AI46" s="2463"/>
      <c r="AJ46" s="2463"/>
      <c r="AK46" s="2463"/>
      <c r="AL46" s="2463"/>
      <c r="AM46" s="2463"/>
      <c r="AN46" s="2463"/>
      <c r="AO46" s="2463"/>
      <c r="AP46" s="2463"/>
      <c r="AQ46" s="2463"/>
      <c r="AR46" s="2463"/>
      <c r="AS46" s="2463"/>
      <c r="AT46" s="2464"/>
      <c r="AU46" s="1185" t="s">
        <v>405</v>
      </c>
      <c r="AW46" s="437"/>
      <c r="AX46" s="437" t="str">
        <f t="shared" si="2"/>
        <v>Территория действия тарифа</v>
      </c>
      <c r="AY46" s="437"/>
      <c r="AZ46" s="437"/>
      <c r="BA46" s="1082">
        <v>21</v>
      </c>
    </row>
    <row r="47" spans="1:53" ht="24" customHeight="1">
      <c r="A47" s="1290" t="s">
        <v>207</v>
      </c>
      <c r="B47" s="1290" t="s">
        <v>208</v>
      </c>
      <c r="C47" s="1290" t="s">
        <v>209</v>
      </c>
      <c r="D47" s="1290"/>
      <c r="E47" s="2469"/>
      <c r="F47" s="2469"/>
      <c r="G47" s="2468">
        <v>1</v>
      </c>
      <c r="H47" s="1290"/>
      <c r="I47" s="1290"/>
      <c r="J47" s="1290"/>
      <c r="K47" s="1290"/>
      <c r="L47" s="1291"/>
      <c r="M47" s="1292"/>
      <c r="N47" s="1292"/>
      <c r="O47" s="1292"/>
      <c r="P47" s="1339"/>
      <c r="Q47" s="1338"/>
      <c r="R47" s="290"/>
      <c r="S47" s="1263" t="str">
        <f>INDEX(PT_DIFFERENTIATION_NUM_CS,MATCH(C47,PT_DIFFERENTIATION_CS_ID,0))</f>
        <v>..</v>
      </c>
      <c r="T47" s="247" t="s">
        <v>406</v>
      </c>
      <c r="U47" s="238"/>
      <c r="V47" s="2463"/>
      <c r="W47" s="2463"/>
      <c r="X47" s="2463"/>
      <c r="Y47" s="2463"/>
      <c r="Z47" s="2463"/>
      <c r="AA47" s="2464"/>
      <c r="AB47" s="2462" t="str">
        <f>INDEX(PT_DIFFERENTIATION_CS,MATCH(C47,PT_DIFFERENTIATION_CS_ID,0))</f>
        <v/>
      </c>
      <c r="AC47" s="2463"/>
      <c r="AD47" s="2463"/>
      <c r="AE47" s="2463"/>
      <c r="AF47" s="2463"/>
      <c r="AG47" s="2463"/>
      <c r="AH47" s="2463"/>
      <c r="AI47" s="2463"/>
      <c r="AJ47" s="2463"/>
      <c r="AK47" s="2463"/>
      <c r="AL47" s="2463"/>
      <c r="AM47" s="2463"/>
      <c r="AN47" s="2463"/>
      <c r="AO47" s="2463"/>
      <c r="AP47" s="2463"/>
      <c r="AQ47" s="2463"/>
      <c r="AR47" s="2463"/>
      <c r="AS47" s="2463"/>
      <c r="AT47" s="2464"/>
      <c r="AU47" s="1185" t="s">
        <v>407</v>
      </c>
      <c r="AW47" s="437"/>
      <c r="AX47" s="437" t="str">
        <f t="shared" si="2"/>
        <v xml:space="preserve">Наименование системы теплоснабжения </v>
      </c>
      <c r="AY47" s="437"/>
      <c r="AZ47" s="437"/>
      <c r="BA47" s="1082">
        <v>23</v>
      </c>
    </row>
    <row r="48" spans="1:53" ht="21" customHeight="1">
      <c r="A48" s="1290" t="s">
        <v>207</v>
      </c>
      <c r="B48" s="1290" t="s">
        <v>208</v>
      </c>
      <c r="C48" s="1290" t="s">
        <v>209</v>
      </c>
      <c r="D48" s="1290" t="s">
        <v>210</v>
      </c>
      <c r="E48" s="2469"/>
      <c r="F48" s="2469"/>
      <c r="G48" s="2469"/>
      <c r="H48" s="2468">
        <v>1</v>
      </c>
      <c r="I48" s="1290"/>
      <c r="J48" s="1290"/>
      <c r="K48" s="1290"/>
      <c r="L48" s="1291"/>
      <c r="M48" s="1292"/>
      <c r="N48" s="1292"/>
      <c r="O48" s="1292"/>
      <c r="P48" s="1339"/>
      <c r="Q48" s="1338"/>
      <c r="R48" s="290"/>
      <c r="S48" s="1263" t="str">
        <f>INDEX(PT_DIFFERENTIATION_NUM_IST_TE,MATCH(D48,PT_DIFFERENTIATION_IST_TE_ID,0))</f>
        <v>...</v>
      </c>
      <c r="T48" s="248" t="s">
        <v>408</v>
      </c>
      <c r="U48" s="238"/>
      <c r="V48" s="2463"/>
      <c r="W48" s="2463"/>
      <c r="X48" s="2463"/>
      <c r="Y48" s="2463"/>
      <c r="Z48" s="2463"/>
      <c r="AA48" s="2464"/>
      <c r="AB48" s="2462" t="str">
        <f>INDEX(PT_DIFFERENTIATION_IST_TE,MATCH(D48,PT_DIFFERENTIATION_IST_TE_ID,0))</f>
        <v/>
      </c>
      <c r="AC48" s="2463"/>
      <c r="AD48" s="2463"/>
      <c r="AE48" s="2463"/>
      <c r="AF48" s="2463"/>
      <c r="AG48" s="2463"/>
      <c r="AH48" s="2463"/>
      <c r="AI48" s="2463"/>
      <c r="AJ48" s="2463"/>
      <c r="AK48" s="2463"/>
      <c r="AL48" s="2463"/>
      <c r="AM48" s="2463"/>
      <c r="AN48" s="2463"/>
      <c r="AO48" s="2463"/>
      <c r="AP48" s="2463"/>
      <c r="AQ48" s="2463"/>
      <c r="AR48" s="2463"/>
      <c r="AS48" s="2463"/>
      <c r="AT48" s="2464"/>
      <c r="AU48" s="1185" t="s">
        <v>409</v>
      </c>
      <c r="AW48" s="437"/>
      <c r="AX48" s="437" t="str">
        <f t="shared" si="2"/>
        <v xml:space="preserve">Источник тепловой энергии  </v>
      </c>
      <c r="AY48" s="437"/>
      <c r="AZ48" s="437"/>
      <c r="BA48" s="1082">
        <v>20</v>
      </c>
    </row>
    <row r="49" spans="1:53" s="1569" customFormat="1" ht="1.1499999999999999" customHeight="1">
      <c r="A49" s="1270" t="s">
        <v>207</v>
      </c>
      <c r="B49" s="1270" t="s">
        <v>208</v>
      </c>
      <c r="C49" s="1270" t="s">
        <v>209</v>
      </c>
      <c r="D49" s="1270" t="s">
        <v>210</v>
      </c>
      <c r="E49" s="2469"/>
      <c r="F49" s="2469"/>
      <c r="G49" s="2469"/>
      <c r="H49" s="2469"/>
      <c r="I49" s="2470" t="str">
        <f>S48&amp;".1"</f>
        <v>....1</v>
      </c>
      <c r="J49" s="1270"/>
      <c r="K49" s="1270"/>
      <c r="L49" s="1273" t="s">
        <v>410</v>
      </c>
      <c r="M49" s="447"/>
      <c r="N49" s="447"/>
      <c r="O49" s="447"/>
      <c r="P49" s="2472">
        <v>1</v>
      </c>
      <c r="Q49" s="1258"/>
      <c r="R49" s="293"/>
      <c r="S49" s="972"/>
      <c r="T49" s="1310"/>
      <c r="U49" s="1311"/>
      <c r="V49" s="2510"/>
      <c r="W49" s="2510"/>
      <c r="X49" s="2510"/>
      <c r="Y49" s="2510"/>
      <c r="Z49" s="2510"/>
      <c r="AA49" s="2511"/>
      <c r="AB49" s="2509"/>
      <c r="AC49" s="2510"/>
      <c r="AD49" s="2510"/>
      <c r="AE49" s="2510"/>
      <c r="AF49" s="2510"/>
      <c r="AG49" s="2510"/>
      <c r="AH49" s="2510"/>
      <c r="AI49" s="2510"/>
      <c r="AJ49" s="2510"/>
      <c r="AK49" s="2510"/>
      <c r="AL49" s="2510"/>
      <c r="AM49" s="2510"/>
      <c r="AN49" s="2510"/>
      <c r="AO49" s="2510"/>
      <c r="AP49" s="2510"/>
      <c r="AQ49" s="2510"/>
      <c r="AR49" s="2510"/>
      <c r="AS49" s="2510"/>
      <c r="AT49" s="2511"/>
      <c r="AU49" s="1312"/>
      <c r="AW49" s="437"/>
      <c r="AX49" s="437" t="str">
        <f t="shared" si="2"/>
        <v/>
      </c>
      <c r="AY49" s="437"/>
      <c r="AZ49" s="437"/>
      <c r="BA49" s="448">
        <v>1</v>
      </c>
    </row>
    <row r="50" spans="1:53" s="1569" customFormat="1" ht="1.1499999999999999" customHeight="1">
      <c r="A50" s="1270" t="s">
        <v>207</v>
      </c>
      <c r="B50" s="1270" t="s">
        <v>208</v>
      </c>
      <c r="C50" s="1270" t="s">
        <v>209</v>
      </c>
      <c r="D50" s="1270" t="s">
        <v>210</v>
      </c>
      <c r="E50" s="2469"/>
      <c r="F50" s="2469"/>
      <c r="G50" s="2469"/>
      <c r="H50" s="2469"/>
      <c r="I50" s="2471"/>
      <c r="J50" s="2470" t="str">
        <f>S48&amp;".1"</f>
        <v>....1</v>
      </c>
      <c r="K50" s="1270"/>
      <c r="L50" s="1273"/>
      <c r="M50" s="447"/>
      <c r="N50" s="447"/>
      <c r="O50" s="447"/>
      <c r="P50" s="2472"/>
      <c r="Q50" s="2472">
        <v>1</v>
      </c>
      <c r="R50" s="294"/>
      <c r="S50" s="972"/>
      <c r="T50" s="1326"/>
      <c r="U50" s="1311"/>
      <c r="V50" s="2510"/>
      <c r="W50" s="2510"/>
      <c r="X50" s="2510"/>
      <c r="Y50" s="2510"/>
      <c r="Z50" s="2510"/>
      <c r="AA50" s="2511"/>
      <c r="AB50" s="2509"/>
      <c r="AC50" s="2510"/>
      <c r="AD50" s="2510"/>
      <c r="AE50" s="2510"/>
      <c r="AF50" s="2510"/>
      <c r="AG50" s="2510"/>
      <c r="AH50" s="2510"/>
      <c r="AI50" s="2510"/>
      <c r="AJ50" s="2510"/>
      <c r="AK50" s="2510"/>
      <c r="AL50" s="2510"/>
      <c r="AM50" s="2510"/>
      <c r="AN50" s="2510"/>
      <c r="AO50" s="2510"/>
      <c r="AP50" s="2510"/>
      <c r="AQ50" s="2510"/>
      <c r="AR50" s="2510"/>
      <c r="AS50" s="2510"/>
      <c r="AT50" s="2511"/>
      <c r="AU50" s="1312"/>
      <c r="AW50" s="437"/>
      <c r="AX50" s="437" t="str">
        <f t="shared" si="2"/>
        <v/>
      </c>
      <c r="AY50" s="437"/>
      <c r="AZ50" s="437"/>
      <c r="BA50" s="448">
        <v>1</v>
      </c>
    </row>
    <row r="51" spans="1:53" ht="21.95" customHeight="1">
      <c r="A51" s="1290" t="s">
        <v>207</v>
      </c>
      <c r="B51" s="1290" t="s">
        <v>208</v>
      </c>
      <c r="C51" s="1290" t="s">
        <v>209</v>
      </c>
      <c r="D51" s="1290" t="s">
        <v>210</v>
      </c>
      <c r="E51" s="2469"/>
      <c r="F51" s="2469"/>
      <c r="G51" s="2469"/>
      <c r="H51" s="2469"/>
      <c r="I51" s="2471"/>
      <c r="J51" s="2471"/>
      <c r="K51" s="2470" t="str">
        <f>S48&amp;".1"</f>
        <v>....1</v>
      </c>
      <c r="L51" s="1291"/>
      <c r="P51" s="2472"/>
      <c r="Q51" s="2472"/>
      <c r="R51" s="294">
        <v>1</v>
      </c>
      <c r="S51" s="2538" t="str">
        <f>$K51</f>
        <v>....1</v>
      </c>
      <c r="T51" s="2535"/>
      <c r="U51" s="238"/>
      <c r="V51" s="688"/>
      <c r="W51" s="1184"/>
      <c r="X51" s="1660"/>
      <c r="Y51" s="1386" t="s">
        <v>67</v>
      </c>
      <c r="Z51" s="1660"/>
      <c r="AA51" s="1386" t="s">
        <v>67</v>
      </c>
      <c r="AB51" s="2342" t="s">
        <v>19</v>
      </c>
      <c r="AC51" s="2534"/>
      <c r="AD51" s="2425">
        <v>1</v>
      </c>
      <c r="AE51" s="2526" t="s">
        <v>28</v>
      </c>
      <c r="AF51" s="2342" t="s">
        <v>19</v>
      </c>
      <c r="AG51" s="2534"/>
      <c r="AH51" s="2425">
        <v>1</v>
      </c>
      <c r="AI51" s="2526" t="s">
        <v>28</v>
      </c>
      <c r="AJ51" s="2342" t="s">
        <v>19</v>
      </c>
      <c r="AK51" s="249"/>
      <c r="AL51" s="1264">
        <v>1</v>
      </c>
      <c r="AM51" s="1329"/>
      <c r="AN51" s="688"/>
      <c r="AO51" s="1184"/>
      <c r="AP51" s="1660"/>
      <c r="AQ51" s="1386" t="s">
        <v>67</v>
      </c>
      <c r="AR51" s="1660"/>
      <c r="AS51" s="1386" t="s">
        <v>67</v>
      </c>
      <c r="AT51" s="1275"/>
      <c r="AU51" s="2491" t="s">
        <v>489</v>
      </c>
      <c r="AV51" s="448" t="e">
        <f ca="1">STRCHECKDATE(V54:AT54)</f>
        <v>#NAME?</v>
      </c>
      <c r="AW51" s="437"/>
      <c r="AX51" s="437" t="str">
        <f t="shared" si="2"/>
        <v/>
      </c>
      <c r="AY51" s="437"/>
      <c r="AZ51" s="437"/>
      <c r="BA51" s="1082">
        <v>21</v>
      </c>
    </row>
    <row r="52" spans="1:53" ht="11.45" customHeight="1">
      <c r="A52" s="1290" t="s">
        <v>207</v>
      </c>
      <c r="B52" s="1290"/>
      <c r="C52" s="1290"/>
      <c r="D52" s="1290"/>
      <c r="E52" s="2469"/>
      <c r="F52" s="2469"/>
      <c r="G52" s="2469"/>
      <c r="H52" s="2469"/>
      <c r="I52" s="2471"/>
      <c r="J52" s="2471"/>
      <c r="K52" s="2470"/>
      <c r="L52" s="1291"/>
      <c r="P52" s="2472"/>
      <c r="Q52" s="2472"/>
      <c r="R52" s="294"/>
      <c r="S52" s="2539"/>
      <c r="T52" s="2536"/>
      <c r="U52" s="238"/>
      <c r="V52" s="1320"/>
      <c r="W52" s="1423"/>
      <c r="X52" s="1320"/>
      <c r="Y52" s="1320"/>
      <c r="Z52" s="1320"/>
      <c r="AA52" s="1320"/>
      <c r="AB52" s="2342"/>
      <c r="AC52" s="2534"/>
      <c r="AD52" s="2425"/>
      <c r="AE52" s="2526"/>
      <c r="AF52" s="2342"/>
      <c r="AG52" s="2534"/>
      <c r="AH52" s="2425"/>
      <c r="AI52" s="2526"/>
      <c r="AJ52" s="2342"/>
      <c r="AK52" s="254"/>
      <c r="AL52" s="353"/>
      <c r="AM52" s="352" t="s">
        <v>474</v>
      </c>
      <c r="AN52" s="1320"/>
      <c r="AO52" s="1423"/>
      <c r="AP52" s="1320"/>
      <c r="AQ52" s="1320"/>
      <c r="AR52" s="1320"/>
      <c r="AS52" s="1320"/>
      <c r="AT52" s="1317"/>
      <c r="AU52" s="2492"/>
      <c r="AW52" s="437"/>
      <c r="AX52" s="437"/>
      <c r="AY52" s="437"/>
      <c r="AZ52" s="437"/>
      <c r="BA52" s="1082">
        <v>11</v>
      </c>
    </row>
    <row r="53" spans="1:53" ht="11.45" customHeight="1">
      <c r="A53" s="1290" t="s">
        <v>207</v>
      </c>
      <c r="B53" s="1290"/>
      <c r="C53" s="1290"/>
      <c r="D53" s="1290"/>
      <c r="E53" s="2469"/>
      <c r="F53" s="2469"/>
      <c r="G53" s="2469"/>
      <c r="H53" s="2469"/>
      <c r="I53" s="2471"/>
      <c r="J53" s="2471"/>
      <c r="K53" s="2470"/>
      <c r="L53" s="1291"/>
      <c r="P53" s="2472"/>
      <c r="Q53" s="2472"/>
      <c r="R53" s="294"/>
      <c r="S53" s="2539"/>
      <c r="T53" s="2536"/>
      <c r="U53" s="238"/>
      <c r="V53" s="1320"/>
      <c r="W53" s="1423"/>
      <c r="X53" s="1320"/>
      <c r="Y53" s="1320"/>
      <c r="Z53" s="1320"/>
      <c r="AA53" s="1320"/>
      <c r="AB53" s="2342"/>
      <c r="AC53" s="2534"/>
      <c r="AD53" s="2425"/>
      <c r="AE53" s="2526"/>
      <c r="AF53" s="2342"/>
      <c r="AG53" s="232"/>
      <c r="AH53" s="352"/>
      <c r="AI53" s="352" t="s">
        <v>475</v>
      </c>
      <c r="AJ53" s="1320"/>
      <c r="AK53" s="1320"/>
      <c r="AL53" s="1320"/>
      <c r="AM53" s="1320"/>
      <c r="AN53" s="1320"/>
      <c r="AO53" s="1423"/>
      <c r="AP53" s="1320"/>
      <c r="AQ53" s="1320"/>
      <c r="AR53" s="1320"/>
      <c r="AS53" s="1320"/>
      <c r="AT53" s="1317"/>
      <c r="AU53" s="2492"/>
      <c r="AW53" s="437"/>
      <c r="AX53" s="437"/>
      <c r="AY53" s="437"/>
      <c r="AZ53" s="437"/>
      <c r="BA53" s="1082">
        <v>11</v>
      </c>
    </row>
    <row r="54" spans="1:53" ht="11.45" customHeight="1">
      <c r="A54" s="1290" t="s">
        <v>207</v>
      </c>
      <c r="B54" s="1290" t="s">
        <v>208</v>
      </c>
      <c r="C54" s="1290" t="s">
        <v>209</v>
      </c>
      <c r="D54" s="1290" t="s">
        <v>210</v>
      </c>
      <c r="E54" s="2469"/>
      <c r="F54" s="2469"/>
      <c r="G54" s="2469"/>
      <c r="H54" s="2469"/>
      <c r="I54" s="2471"/>
      <c r="J54" s="2471"/>
      <c r="K54" s="2470"/>
      <c r="L54" s="1291"/>
      <c r="P54" s="2472"/>
      <c r="Q54" s="2472"/>
      <c r="R54" s="294"/>
      <c r="S54" s="2540"/>
      <c r="T54" s="2537"/>
      <c r="U54" s="238"/>
      <c r="V54" s="1320"/>
      <c r="W54" s="1321" t="str">
        <f>X51&amp;"-"&amp;Z51</f>
        <v>-</v>
      </c>
      <c r="X54" s="1320"/>
      <c r="Y54" s="1320"/>
      <c r="Z54" s="1320"/>
      <c r="AA54" s="1320"/>
      <c r="AB54" s="2342"/>
      <c r="AC54" s="250"/>
      <c r="AD54" s="252"/>
      <c r="AE54" s="352" t="s">
        <v>476</v>
      </c>
      <c r="AF54" s="1320"/>
      <c r="AG54" s="1320"/>
      <c r="AH54" s="1320"/>
      <c r="AI54" s="1320"/>
      <c r="AJ54" s="1320"/>
      <c r="AK54" s="1320"/>
      <c r="AL54" s="1320"/>
      <c r="AM54" s="1320"/>
      <c r="AN54" s="1320"/>
      <c r="AO54" s="1321" t="str">
        <f>AP51&amp;"-"&amp;AR51</f>
        <v>-</v>
      </c>
      <c r="AP54" s="1320"/>
      <c r="AQ54" s="1320"/>
      <c r="AR54" s="1320"/>
      <c r="AS54" s="1320"/>
      <c r="AT54" s="1276"/>
      <c r="AU54" s="2492"/>
      <c r="AW54" s="437"/>
      <c r="AX54" s="437" t="str">
        <f t="shared" ref="AX54:AX62" si="3">IF(T54="","",T54)</f>
        <v/>
      </c>
      <c r="AY54" s="437"/>
      <c r="AZ54" s="437"/>
      <c r="BA54" s="1082">
        <v>11</v>
      </c>
    </row>
    <row r="55" spans="1:53" ht="11.45" customHeight="1">
      <c r="A55" s="1290" t="s">
        <v>207</v>
      </c>
      <c r="B55" s="1290" t="s">
        <v>208</v>
      </c>
      <c r="C55" s="1290" t="s">
        <v>209</v>
      </c>
      <c r="D55" s="1290" t="s">
        <v>210</v>
      </c>
      <c r="E55" s="2469"/>
      <c r="F55" s="2469"/>
      <c r="G55" s="2469"/>
      <c r="H55" s="2469"/>
      <c r="I55" s="2471"/>
      <c r="J55" s="2470"/>
      <c r="K55" s="1290"/>
      <c r="L55" s="1291"/>
      <c r="P55" s="2472"/>
      <c r="Q55" s="2472"/>
      <c r="R55" s="293"/>
      <c r="S55" s="1205"/>
      <c r="T55" s="225" t="s">
        <v>477</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493"/>
      <c r="AW55" s="437"/>
      <c r="AX55" s="437" t="str">
        <f t="shared" si="3"/>
        <v>Добавить строку</v>
      </c>
      <c r="AY55" s="437"/>
      <c r="AZ55" s="437"/>
      <c r="BA55" s="1082">
        <v>11</v>
      </c>
    </row>
    <row r="56" spans="1:53" s="1569" customFormat="1" ht="1.1499999999999999" customHeight="1">
      <c r="A56" s="1270" t="s">
        <v>207</v>
      </c>
      <c r="B56" s="1270" t="s">
        <v>208</v>
      </c>
      <c r="C56" s="1270" t="s">
        <v>209</v>
      </c>
      <c r="D56" s="1270" t="s">
        <v>210</v>
      </c>
      <c r="E56" s="2469"/>
      <c r="F56" s="2469"/>
      <c r="G56" s="2469"/>
      <c r="H56" s="2469"/>
      <c r="I56" s="2470"/>
      <c r="J56" s="1270"/>
      <c r="K56" s="1270"/>
      <c r="L56" s="1273"/>
      <c r="M56" s="447"/>
      <c r="N56" s="447"/>
      <c r="O56" s="447"/>
      <c r="P56" s="2472"/>
      <c r="Q56" s="1258"/>
      <c r="R56" s="293"/>
      <c r="S56" s="1313"/>
      <c r="T56" s="1314" t="s">
        <v>419</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207</v>
      </c>
      <c r="B57" s="1270" t="s">
        <v>208</v>
      </c>
      <c r="C57" s="1270" t="s">
        <v>209</v>
      </c>
      <c r="D57" s="1270" t="s">
        <v>210</v>
      </c>
      <c r="E57" s="2469"/>
      <c r="F57" s="2469"/>
      <c r="G57" s="2469"/>
      <c r="H57" s="2468"/>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207</v>
      </c>
      <c r="B58" s="1270" t="s">
        <v>208</v>
      </c>
      <c r="C58" s="1270" t="s">
        <v>209</v>
      </c>
      <c r="D58" s="1241"/>
      <c r="E58" s="2469"/>
      <c r="F58" s="2469"/>
      <c r="G58" s="2468"/>
      <c r="H58" s="1241"/>
      <c r="I58" s="1241"/>
      <c r="J58" s="1241"/>
      <c r="K58" s="1241"/>
      <c r="L58" s="1266"/>
      <c r="M58" s="1242"/>
      <c r="N58" s="1242"/>
      <c r="P58" s="1243"/>
      <c r="Q58" s="1244"/>
      <c r="R58" s="1243"/>
      <c r="S58" s="1249"/>
      <c r="T58" s="1252" t="s">
        <v>169</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207</v>
      </c>
      <c r="B59" s="1270" t="s">
        <v>208</v>
      </c>
      <c r="C59" s="1241"/>
      <c r="D59" s="1241"/>
      <c r="E59" s="2469"/>
      <c r="F59" s="2468"/>
      <c r="G59" s="1241"/>
      <c r="H59" s="1241"/>
      <c r="I59" s="1241"/>
      <c r="J59" s="1241"/>
      <c r="K59" s="1241"/>
      <c r="L59" s="1266"/>
      <c r="M59" s="1248"/>
      <c r="N59" s="1248"/>
      <c r="P59" s="1243"/>
      <c r="Q59" s="1244"/>
      <c r="R59" s="1243"/>
      <c r="S59" s="1249"/>
      <c r="T59" s="1252" t="s">
        <v>170</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207</v>
      </c>
      <c r="B60" s="1270"/>
      <c r="C60" s="1270"/>
      <c r="D60" s="1270"/>
      <c r="E60" s="2469"/>
      <c r="F60" s="1270"/>
      <c r="G60" s="1270"/>
      <c r="H60" s="1270"/>
      <c r="I60" s="1270"/>
      <c r="J60" s="1270"/>
      <c r="K60" s="1270"/>
      <c r="L60" s="1273"/>
      <c r="M60" s="1248"/>
      <c r="N60" s="1248"/>
      <c r="O60" s="455"/>
      <c r="P60" s="317"/>
      <c r="Q60" s="1271"/>
      <c r="R60" s="317"/>
      <c r="S60" s="1249"/>
      <c r="T60" s="1252" t="s">
        <v>171</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207</v>
      </c>
      <c r="B61" s="1270"/>
      <c r="C61" s="1270"/>
      <c r="D61" s="1270"/>
      <c r="E61" s="2468"/>
      <c r="F61" s="1270"/>
      <c r="G61" s="1270"/>
      <c r="H61" s="1270"/>
      <c r="I61" s="1270"/>
      <c r="J61" s="1270"/>
      <c r="K61" s="1270"/>
      <c r="L61" s="1273"/>
      <c r="M61" s="1248"/>
      <c r="N61" s="1248"/>
      <c r="O61" s="455"/>
      <c r="P61" s="317"/>
      <c r="Q61" s="1271"/>
      <c r="R61" s="317"/>
      <c r="S61" s="1249"/>
      <c r="T61" s="1252" t="s">
        <v>171</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172</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467"/>
      <c r="U64" s="2467"/>
      <c r="V64" s="2467"/>
      <c r="W64" s="2467"/>
      <c r="X64" s="2467"/>
      <c r="Y64" s="2467"/>
      <c r="Z64" s="2467"/>
      <c r="AA64" s="2467"/>
      <c r="AB64" s="2467"/>
      <c r="AC64" s="2467"/>
      <c r="AD64" s="2467"/>
      <c r="AE64" s="2467"/>
      <c r="AF64" s="2467"/>
      <c r="AG64" s="2467"/>
      <c r="AH64" s="2467"/>
      <c r="AI64" s="2467"/>
      <c r="AJ64" s="2467"/>
      <c r="AK64" s="2467"/>
      <c r="AL64" s="2467"/>
      <c r="AM64" s="2467"/>
      <c r="AN64" s="2467"/>
      <c r="AO64" s="2467"/>
      <c r="AP64" s="2467"/>
      <c r="AQ64" s="2467"/>
      <c r="AR64" s="2467"/>
      <c r="AS64" s="2467"/>
      <c r="AT64" s="2467"/>
      <c r="AU64" s="2467"/>
      <c r="BA64" s="1082">
        <v>19</v>
      </c>
    </row>
    <row r="65" spans="1:53" ht="21" customHeight="1">
      <c r="O65" s="474"/>
      <c r="T65" s="2467"/>
      <c r="U65" s="2467"/>
      <c r="V65" s="2467"/>
      <c r="W65" s="2467"/>
      <c r="X65" s="2467"/>
      <c r="Y65" s="2467"/>
      <c r="Z65" s="2467"/>
      <c r="AA65" s="2467"/>
      <c r="AB65" s="2467"/>
      <c r="AC65" s="2467"/>
      <c r="AD65" s="2467"/>
      <c r="AE65" s="2467"/>
      <c r="AF65" s="2467"/>
      <c r="AG65" s="2467"/>
      <c r="AH65" s="2467"/>
      <c r="AI65" s="2467"/>
      <c r="AJ65" s="2467"/>
      <c r="AK65" s="2467"/>
      <c r="AL65" s="2467"/>
      <c r="AM65" s="2467"/>
      <c r="AN65" s="2467"/>
      <c r="AO65" s="2467"/>
      <c r="AP65" s="2467"/>
      <c r="AQ65" s="2467"/>
      <c r="AR65" s="2467"/>
      <c r="AS65" s="2467"/>
      <c r="AT65" s="2467"/>
      <c r="AU65" s="2467"/>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467"/>
      <c r="U67" s="2467"/>
      <c r="V67" s="2467"/>
      <c r="W67" s="2467"/>
      <c r="X67" s="2467"/>
      <c r="Y67" s="2467"/>
      <c r="Z67" s="2467"/>
      <c r="AA67" s="2467"/>
      <c r="AB67" s="2467"/>
      <c r="AC67" s="2467"/>
      <c r="AD67" s="2467"/>
      <c r="AE67" s="2467"/>
      <c r="AF67" s="2467"/>
      <c r="AG67" s="2467"/>
      <c r="AH67" s="2467"/>
      <c r="AI67" s="2467"/>
      <c r="AJ67" s="2467"/>
      <c r="AK67" s="2467"/>
      <c r="AL67" s="2467"/>
      <c r="AM67" s="2467"/>
      <c r="AN67" s="2467"/>
      <c r="AO67" s="2467"/>
      <c r="AP67" s="2467"/>
      <c r="AQ67" s="2467"/>
      <c r="AR67" s="2467"/>
      <c r="AS67" s="2467"/>
      <c r="AT67" s="2467"/>
      <c r="AU67" s="2467"/>
      <c r="BA67" s="1082">
        <v>19</v>
      </c>
    </row>
    <row r="68" spans="1:53" ht="16.899999999999999" customHeight="1">
      <c r="O68" s="474"/>
      <c r="T68" s="2467"/>
      <c r="U68" s="2467"/>
      <c r="V68" s="2467"/>
      <c r="W68" s="2467"/>
      <c r="X68" s="2467"/>
      <c r="Y68" s="2467"/>
      <c r="Z68" s="2467"/>
      <c r="AA68" s="2467"/>
      <c r="AB68" s="2467"/>
      <c r="AC68" s="2467"/>
      <c r="AD68" s="2467"/>
      <c r="AE68" s="2467"/>
      <c r="AF68" s="2467"/>
      <c r="AG68" s="2467"/>
      <c r="AH68" s="2467"/>
      <c r="AI68" s="2467"/>
      <c r="AJ68" s="2467"/>
      <c r="AK68" s="2467"/>
      <c r="AL68" s="2467"/>
      <c r="AM68" s="2467"/>
      <c r="AN68" s="2467"/>
      <c r="AO68" s="2467"/>
      <c r="AP68" s="2467"/>
      <c r="AQ68" s="2467"/>
      <c r="AR68" s="2467"/>
      <c r="AS68" s="2467"/>
      <c r="AT68" s="2467"/>
      <c r="AU68" s="2467"/>
      <c r="BA68" s="1082">
        <v>16</v>
      </c>
    </row>
    <row r="69" spans="1:53" ht="14.65" customHeight="1">
      <c r="O69" s="474"/>
      <c r="BA69" s="1082">
        <v>14</v>
      </c>
    </row>
    <row r="70" spans="1:53" ht="22.5" hidden="1" customHeight="1">
      <c r="A70" s="1087" t="s">
        <v>83</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D2F42-84E4-4E03-F533-2E6DE0E515BE}">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2" customWidth="1"/>
    <col min="19" max="19" width="12" style="2009"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468">
        <v>1</v>
      </c>
      <c r="F2" s="1290"/>
      <c r="G2" s="1290"/>
      <c r="H2" s="1290"/>
      <c r="I2" s="1290"/>
      <c r="J2" s="1290"/>
      <c r="K2" s="1290"/>
      <c r="L2" s="1291"/>
      <c r="M2" s="1292"/>
      <c r="N2" s="1292"/>
      <c r="O2" s="1292"/>
      <c r="P2" s="298"/>
      <c r="Q2" s="297"/>
      <c r="R2" s="292"/>
      <c r="S2" s="1352" t="e">
        <f>INDEX(PT_DIFFERENTIATION_NUM_NTAR,MATCH(A2,PT_DIFFERENTIATION_NTAR_ID,0))</f>
        <v>#N/A</v>
      </c>
      <c r="T2" s="236" t="s">
        <v>124</v>
      </c>
      <c r="U2" s="238"/>
      <c r="V2" s="2462"/>
      <c r="W2" s="2463"/>
      <c r="X2" s="2463"/>
      <c r="Y2" s="2463"/>
      <c r="Z2" s="2463"/>
      <c r="AA2" s="2463"/>
      <c r="AB2" s="2464"/>
      <c r="AC2" s="2462" t="e">
        <f>INDEX(PT_DIFFERENTIATION_NTAR,MATCH(A2,PT_DIFFERENTIATION_NTAR_ID,0))</f>
        <v>#N/A</v>
      </c>
      <c r="AD2" s="2463"/>
      <c r="AE2" s="2463"/>
      <c r="AF2" s="2463"/>
      <c r="AG2" s="2463"/>
      <c r="AH2" s="2463"/>
      <c r="AI2" s="2463"/>
      <c r="AJ2" s="246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469"/>
      <c r="F3" s="2468">
        <v>1</v>
      </c>
      <c r="G3" s="1290"/>
      <c r="H3" s="1290"/>
      <c r="I3" s="1290"/>
      <c r="J3" s="1290"/>
      <c r="K3" s="1290"/>
      <c r="L3" s="1291"/>
      <c r="M3" s="1292"/>
      <c r="N3" s="1292"/>
      <c r="O3" s="1292"/>
      <c r="P3" s="1350"/>
      <c r="Q3" s="289"/>
      <c r="R3" s="290"/>
      <c r="S3" s="1352" t="e">
        <f>INDEX(PT_DIFFERENTIATION_NUM_TER,MATCH(B3,PT_DIFFERENTIATION_TER_ID,0))</f>
        <v>#N/A</v>
      </c>
      <c r="T3" s="246" t="s">
        <v>404</v>
      </c>
      <c r="U3" s="238"/>
      <c r="V3" s="2462"/>
      <c r="W3" s="2463"/>
      <c r="X3" s="2463"/>
      <c r="Y3" s="2463"/>
      <c r="Z3" s="2463"/>
      <c r="AA3" s="2463"/>
      <c r="AB3" s="2464"/>
      <c r="AC3" s="2462" t="e">
        <f>INDEX(PT_DIFFERENTIATION_TER,MATCH(B3,PT_DIFFERENTIATION_TER_ID,0))</f>
        <v>#N/A</v>
      </c>
      <c r="AD3" s="2463"/>
      <c r="AE3" s="2463"/>
      <c r="AF3" s="2463"/>
      <c r="AG3" s="2463"/>
      <c r="AH3" s="2463"/>
      <c r="AI3" s="2463"/>
      <c r="AJ3" s="2464"/>
      <c r="AK3" s="1185" t="s">
        <v>405</v>
      </c>
      <c r="AM3" s="437"/>
      <c r="AN3" s="437" t="str">
        <f t="shared" si="0"/>
        <v>Территория действия тарифа</v>
      </c>
      <c r="AO3" s="437"/>
      <c r="AP3" s="437"/>
      <c r="AQ3" s="1082">
        <v>0</v>
      </c>
    </row>
    <row r="4" spans="1:43" ht="23.25" hidden="1" customHeight="1">
      <c r="A4" s="1290"/>
      <c r="B4" s="1290"/>
      <c r="C4" s="1290"/>
      <c r="D4" s="1290"/>
      <c r="E4" s="2469"/>
      <c r="F4" s="2469"/>
      <c r="G4" s="2468">
        <v>1</v>
      </c>
      <c r="H4" s="1290"/>
      <c r="I4" s="1290"/>
      <c r="J4" s="1290"/>
      <c r="K4" s="1290"/>
      <c r="L4" s="1291"/>
      <c r="M4" s="1292"/>
      <c r="N4" s="1292"/>
      <c r="O4" s="1292"/>
      <c r="P4" s="291"/>
      <c r="Q4" s="289"/>
      <c r="R4" s="290"/>
      <c r="S4" s="1352" t="e">
        <f>INDEX(PT_DIFFERENTIATION_NUM_CS,MATCH(C4,PT_DIFFERENTIATION_CS_ID,0))</f>
        <v>#N/A</v>
      </c>
      <c r="T4" s="247" t="s">
        <v>490</v>
      </c>
      <c r="U4" s="238"/>
      <c r="V4" s="2462"/>
      <c r="W4" s="2463"/>
      <c r="X4" s="2463"/>
      <c r="Y4" s="2463"/>
      <c r="Z4" s="2463"/>
      <c r="AA4" s="2463"/>
      <c r="AB4" s="2464"/>
      <c r="AC4" s="2462" t="e">
        <f>INDEX(PT_DIFFERENTIATION_CS,MATCH(C4,PT_DIFFERENTIATION_CS_ID,0))</f>
        <v>#N/A</v>
      </c>
      <c r="AD4" s="2463"/>
      <c r="AE4" s="2463"/>
      <c r="AF4" s="2463"/>
      <c r="AG4" s="2463"/>
      <c r="AH4" s="2463"/>
      <c r="AI4" s="2463"/>
      <c r="AJ4" s="2464"/>
      <c r="AK4" s="1185" t="s">
        <v>491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469"/>
      <c r="F5" s="2469"/>
      <c r="G5" s="2469"/>
      <c r="H5" s="2469"/>
      <c r="I5" s="2470" t="e">
        <f>S4&amp;".1"</f>
        <v>#N/A</v>
      </c>
      <c r="J5" s="1290"/>
      <c r="K5" s="1290"/>
      <c r="L5" s="1291"/>
      <c r="P5" s="2472">
        <v>1</v>
      </c>
      <c r="Q5" s="1349"/>
      <c r="R5" s="293"/>
      <c r="S5" s="1352" t="e">
        <f>$I5</f>
        <v>#N/A</v>
      </c>
      <c r="T5" s="223" t="s">
        <v>492</v>
      </c>
      <c r="U5" s="238"/>
      <c r="V5" s="2549"/>
      <c r="W5" s="2550"/>
      <c r="X5" s="2550"/>
      <c r="Y5" s="2550"/>
      <c r="Z5" s="2550"/>
      <c r="AA5" s="2550"/>
      <c r="AB5" s="2551"/>
      <c r="AC5" s="2552"/>
      <c r="AD5" s="2553"/>
      <c r="AE5" s="2553"/>
      <c r="AF5" s="2553"/>
      <c r="AG5" s="2553"/>
      <c r="AH5" s="2553"/>
      <c r="AI5" s="2553"/>
      <c r="AJ5" s="2554"/>
      <c r="AK5" s="1185" t="s">
        <v>493</v>
      </c>
      <c r="AM5" s="437"/>
      <c r="AN5" s="437" t="str">
        <f t="shared" si="0"/>
        <v>Наименование признака дифференциации</v>
      </c>
      <c r="AO5" s="437"/>
      <c r="AP5" s="437"/>
      <c r="AQ5" s="1082">
        <v>0</v>
      </c>
    </row>
    <row r="6" spans="1:43" ht="23.25" hidden="1" customHeight="1">
      <c r="A6" s="1290"/>
      <c r="B6" s="1290"/>
      <c r="C6" s="1290"/>
      <c r="D6" s="1290"/>
      <c r="E6" s="2469"/>
      <c r="F6" s="2469"/>
      <c r="G6" s="2469"/>
      <c r="H6" s="2469"/>
      <c r="I6" s="2471"/>
      <c r="J6" s="2470" t="e">
        <f>I5&amp;".1"</f>
        <v>#N/A</v>
      </c>
      <c r="K6" s="1290"/>
      <c r="L6" s="1291" t="s">
        <v>413</v>
      </c>
      <c r="P6" s="2472"/>
      <c r="Q6" s="2472">
        <v>1</v>
      </c>
      <c r="R6" s="294"/>
      <c r="S6" s="1352" t="e">
        <f>$J6</f>
        <v>#N/A</v>
      </c>
      <c r="T6" s="224" t="s">
        <v>414</v>
      </c>
      <c r="U6" s="238"/>
      <c r="V6" s="2456"/>
      <c r="W6" s="2457"/>
      <c r="X6" s="2457"/>
      <c r="Y6" s="2457"/>
      <c r="Z6" s="2457"/>
      <c r="AA6" s="2457"/>
      <c r="AB6" s="2458"/>
      <c r="AC6" s="2456"/>
      <c r="AD6" s="2457"/>
      <c r="AE6" s="2457"/>
      <c r="AF6" s="2457"/>
      <c r="AG6" s="2457"/>
      <c r="AH6" s="2457"/>
      <c r="AI6" s="2457"/>
      <c r="AJ6" s="2458"/>
      <c r="AK6" s="1234" t="s">
        <v>494</v>
      </c>
      <c r="AM6" s="437"/>
      <c r="AN6" s="437" t="str">
        <f t="shared" si="0"/>
        <v>Группа потребителей</v>
      </c>
      <c r="AO6" s="437"/>
      <c r="AP6" s="437"/>
      <c r="AQ6" s="1082">
        <v>0</v>
      </c>
    </row>
    <row r="7" spans="1:43" ht="23.25" hidden="1" customHeight="1">
      <c r="A7" s="1290"/>
      <c r="B7" s="1290"/>
      <c r="C7" s="1290"/>
      <c r="D7" s="1290"/>
      <c r="E7" s="2469"/>
      <c r="F7" s="2469"/>
      <c r="G7" s="2469"/>
      <c r="H7" s="2469"/>
      <c r="I7" s="2471"/>
      <c r="J7" s="2471"/>
      <c r="K7" s="2470" t="e">
        <f>J6&amp;".1"</f>
        <v>#N/A</v>
      </c>
      <c r="L7" s="1291"/>
      <c r="P7" s="2472"/>
      <c r="Q7" s="2472"/>
      <c r="R7" s="294">
        <v>1</v>
      </c>
      <c r="S7" s="1352" t="e">
        <f>$K7</f>
        <v>#N/A</v>
      </c>
      <c r="T7" s="1364"/>
      <c r="U7" s="238"/>
      <c r="V7" s="688"/>
      <c r="W7" s="688"/>
      <c r="X7" s="1184"/>
      <c r="Y7" s="2473"/>
      <c r="Z7" s="2342" t="s">
        <v>67</v>
      </c>
      <c r="AA7" s="2473"/>
      <c r="AB7" s="2342" t="s">
        <v>67</v>
      </c>
      <c r="AC7" s="688"/>
      <c r="AD7" s="688"/>
      <c r="AE7" s="1184"/>
      <c r="AF7" s="2473"/>
      <c r="AG7" s="2342" t="s">
        <v>67</v>
      </c>
      <c r="AH7" s="2475"/>
      <c r="AI7" s="2342" t="s">
        <v>67</v>
      </c>
      <c r="AJ7" s="1365"/>
      <c r="AK7" s="25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469"/>
      <c r="F8" s="2469"/>
      <c r="G8" s="2469"/>
      <c r="H8" s="2469"/>
      <c r="I8" s="2471"/>
      <c r="J8" s="2471"/>
      <c r="K8" s="2470"/>
      <c r="L8" s="1291"/>
      <c r="P8" s="2472"/>
      <c r="Q8" s="2472"/>
      <c r="R8" s="294"/>
      <c r="S8" s="1351"/>
      <c r="T8" s="238"/>
      <c r="U8" s="238"/>
      <c r="V8" s="263"/>
      <c r="W8" s="263"/>
      <c r="X8" s="266" t="str">
        <f>Y7&amp;"-"&amp;AA7</f>
        <v>-</v>
      </c>
      <c r="Y8" s="2474"/>
      <c r="Z8" s="2342"/>
      <c r="AA8" s="2474"/>
      <c r="AB8" s="2342"/>
      <c r="AC8" s="263"/>
      <c r="AD8" s="263"/>
      <c r="AE8" s="266" t="str">
        <f>AF7&amp;"-"&amp;AH7</f>
        <v>-</v>
      </c>
      <c r="AF8" s="2474"/>
      <c r="AG8" s="2342"/>
      <c r="AH8" s="2476"/>
      <c r="AI8" s="2342"/>
      <c r="AJ8" s="1366"/>
      <c r="AK8" s="2555"/>
      <c r="AM8" s="437"/>
      <c r="AN8" s="437" t="str">
        <f t="shared" si="0"/>
        <v/>
      </c>
      <c r="AO8" s="437"/>
      <c r="AP8" s="437"/>
      <c r="AQ8" s="1082">
        <v>0</v>
      </c>
    </row>
    <row r="9" spans="1:43" ht="21" hidden="1" customHeight="1">
      <c r="A9" s="1290"/>
      <c r="B9" s="1290"/>
      <c r="C9" s="1290"/>
      <c r="D9" s="1290"/>
      <c r="E9" s="2469"/>
      <c r="F9" s="2469"/>
      <c r="G9" s="2469"/>
      <c r="H9" s="2469"/>
      <c r="I9" s="2471"/>
      <c r="J9" s="2470"/>
      <c r="K9" s="1290"/>
      <c r="L9" s="1291"/>
      <c r="P9" s="2472"/>
      <c r="Q9" s="2472"/>
      <c r="R9" s="293"/>
      <c r="S9" s="1205"/>
      <c r="T9" s="225" t="s">
        <v>495</v>
      </c>
      <c r="U9" s="304"/>
      <c r="V9" s="304"/>
      <c r="W9" s="304"/>
      <c r="X9" s="304"/>
      <c r="Y9" s="304"/>
      <c r="Z9" s="304"/>
      <c r="AA9" s="304"/>
      <c r="AB9" s="304"/>
      <c r="AC9" s="304"/>
      <c r="AD9" s="304"/>
      <c r="AE9" s="304"/>
      <c r="AF9" s="304"/>
      <c r="AG9" s="304"/>
      <c r="AH9" s="304"/>
      <c r="AI9" s="304"/>
      <c r="AJ9" s="304"/>
      <c r="AK9" s="1185" t="s">
        <v>496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469"/>
      <c r="F10" s="2469"/>
      <c r="G10" s="2469"/>
      <c r="H10" s="2469"/>
      <c r="I10" s="2470"/>
      <c r="J10" s="1290"/>
      <c r="K10" s="1290"/>
      <c r="L10" s="1291"/>
      <c r="P10" s="2472"/>
      <c r="Q10" s="1349"/>
      <c r="R10" s="293"/>
      <c r="S10" s="1205"/>
      <c r="T10" s="302" t="s">
        <v>419</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469"/>
      <c r="F11" s="2469"/>
      <c r="G11" s="2469"/>
      <c r="H11" s="2468"/>
      <c r="I11" s="1290"/>
      <c r="J11" s="1290"/>
      <c r="K11" s="1290"/>
      <c r="L11" s="1291"/>
      <c r="M11" s="1292"/>
      <c r="N11" s="1292"/>
      <c r="O11" s="474"/>
      <c r="P11" s="297"/>
      <c r="Q11" s="312"/>
      <c r="R11" s="292"/>
      <c r="S11" s="1205"/>
      <c r="T11" s="309" t="s">
        <v>497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469"/>
      <c r="F12" s="2468"/>
      <c r="G12" s="1241"/>
      <c r="H12" s="1241"/>
      <c r="I12" s="1241"/>
      <c r="J12" s="1241"/>
      <c r="K12" s="1241"/>
      <c r="L12" s="1353"/>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468"/>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466"/>
      <c r="AG15" s="2465" t="s">
        <v>67</v>
      </c>
      <c r="AH15" s="2466"/>
      <c r="AI15" s="2465" t="s">
        <v>67</v>
      </c>
      <c r="AQ15" s="1082">
        <v>0</v>
      </c>
    </row>
    <row r="16" spans="1:43" ht="14.25" hidden="1" customHeight="1">
      <c r="AC16" s="1287"/>
      <c r="AD16" s="1287"/>
      <c r="AE16" s="266" t="str">
        <f>AF15&amp;"-"&amp;AH15</f>
        <v>-</v>
      </c>
      <c r="AF16" s="2465"/>
      <c r="AG16" s="2465"/>
      <c r="AH16" s="2465"/>
      <c r="AI16" s="2465"/>
      <c r="AQ16" s="1082">
        <v>0</v>
      </c>
    </row>
    <row r="17" spans="1:43" ht="14.25" hidden="1" customHeight="1">
      <c r="AI17" s="265"/>
      <c r="AQ17" s="1082">
        <v>0</v>
      </c>
    </row>
    <row r="18" spans="1:43" s="1293" customFormat="1" ht="22.5" hidden="1" customHeight="1">
      <c r="L18" s="1348"/>
      <c r="M18" s="1289"/>
      <c r="N18" s="1289"/>
      <c r="O18" s="1294" t="s">
        <v>421</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422</v>
      </c>
      <c r="P20" s="1289"/>
      <c r="Q20" s="1369"/>
      <c r="R20" s="1369"/>
      <c r="S20" s="666"/>
      <c r="T20" s="1087" t="s">
        <v>423</v>
      </c>
      <c r="Z20" s="124" t="s">
        <v>424</v>
      </c>
      <c r="AB20" s="124" t="s">
        <v>425</v>
      </c>
      <c r="AC20" s="1087" t="s">
        <v>423</v>
      </c>
      <c r="AG20" s="124" t="s">
        <v>426</v>
      </c>
      <c r="AI20" s="124" t="s">
        <v>425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4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49"/>
      <c r="U24" s="2449"/>
      <c r="V24" s="2449"/>
      <c r="W24" s="2449"/>
      <c r="X24" s="2449"/>
      <c r="Y24" s="2449"/>
      <c r="Z24" s="2449"/>
      <c r="AA24" s="2449"/>
      <c r="AB24" s="2449"/>
      <c r="AC24" s="2449"/>
      <c r="AD24" s="2449"/>
      <c r="AE24" s="2449"/>
      <c r="AF24" s="2449"/>
      <c r="AG24" s="2449"/>
      <c r="AH24" s="2449"/>
      <c r="AI24" s="1170"/>
      <c r="AQ24" s="1082">
        <v>14</v>
      </c>
    </row>
    <row r="25" spans="1:43" ht="14.65" customHeight="1">
      <c r="Q25" s="313"/>
      <c r="R25" s="313"/>
      <c r="S25" s="2421" t="str">
        <f>IF(org=0,"Не определено",org)</f>
        <v>МУП "Городские тепловые сети" МО  "город Курчатов"</v>
      </c>
      <c r="T25" s="2421"/>
      <c r="U25" s="2421"/>
      <c r="V25" s="2421"/>
      <c r="W25" s="2421"/>
      <c r="X25" s="2421"/>
      <c r="Y25" s="2421"/>
      <c r="Z25" s="2421"/>
      <c r="AA25" s="2421"/>
      <c r="AB25" s="2421"/>
      <c r="AC25" s="2421"/>
      <c r="AD25" s="2421"/>
      <c r="AE25" s="2421"/>
      <c r="AF25" s="2421"/>
      <c r="AG25" s="2421"/>
      <c r="AH25" s="2421"/>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459" t="s">
        <v>42</v>
      </c>
      <c r="T27" s="2459"/>
      <c r="U27" s="1299"/>
      <c r="V27" s="2461" t="str">
        <f>IF(TITLE_NAME_OR_PR_CHANGE="",IF(TITLE_NAME_OR_PR="","",TITLE_NAME_OR_PR),TITLE_NAME_OR_PR_CHANGE)</f>
        <v/>
      </c>
      <c r="W27" s="2461"/>
      <c r="X27" s="2461"/>
      <c r="Y27" s="2461"/>
      <c r="Z27" s="2461"/>
      <c r="AA27" s="2461"/>
      <c r="AB27" s="264"/>
      <c r="AC27" s="2461" t="str">
        <f>IF(TITLE_NAME_OR_PR_CHANGE="",IF(TITLE_NAME_OR_PR="","",TITLE_NAME_OR_PR),TITLE_NAME_OR_PR_CHANGE)</f>
        <v/>
      </c>
      <c r="AD27" s="2461"/>
      <c r="AE27" s="2461"/>
      <c r="AF27" s="2461"/>
      <c r="AG27" s="2461"/>
      <c r="AH27" s="2461"/>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459" t="s">
        <v>427</v>
      </c>
      <c r="T28" s="2459"/>
      <c r="U28" s="1299"/>
      <c r="V28" s="2460">
        <f>IF(TITLE_DATE_PR_CHANGE="",IF(TITLE_DATE_PR="","",TITLE_DATE_PR),TITLE_DATE_PR_CHANGE)</f>
        <v>45775</v>
      </c>
      <c r="W28" s="2460"/>
      <c r="X28" s="2460"/>
      <c r="Y28" s="2460"/>
      <c r="Z28" s="2460"/>
      <c r="AA28" s="2460"/>
      <c r="AB28" s="264"/>
      <c r="AC28" s="2460">
        <f>IF(TITLE_DATE_PR_CHANGE="",IF(TITLE_DATE_PR="","",TITLE_DATE_PR),TITLE_DATE_PR_CHANGE)</f>
        <v>45775</v>
      </c>
      <c r="AD28" s="2460"/>
      <c r="AE28" s="2460"/>
      <c r="AF28" s="2460"/>
      <c r="AG28" s="2460"/>
      <c r="AH28" s="2460"/>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459" t="s">
        <v>428</v>
      </c>
      <c r="T29" s="2459"/>
      <c r="U29" s="1299"/>
      <c r="V29" s="2461" t="str">
        <f>IF(TITLE_NUMBER_PR_CHANGE="",IF(TITLE_NUMBER_PR="","",TITLE_NUMBER_PR),TITLE_NUMBER_PR_CHANGE)</f>
        <v>03.5-1382</v>
      </c>
      <c r="W29" s="2461"/>
      <c r="X29" s="2461"/>
      <c r="Y29" s="2461"/>
      <c r="Z29" s="2461"/>
      <c r="AA29" s="2461"/>
      <c r="AB29" s="264"/>
      <c r="AC29" s="2461" t="str">
        <f>IF(TITLE_NUMBER_PR_CHANGE="",IF(TITLE_NUMBER_PR="","",TITLE_NUMBER_PR),TITLE_NUMBER_PR_CHANGE)</f>
        <v>03.5-1382</v>
      </c>
      <c r="AD29" s="2461"/>
      <c r="AE29" s="2461"/>
      <c r="AF29" s="2461"/>
      <c r="AG29" s="2461"/>
      <c r="AH29" s="2461"/>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459" t="s">
        <v>43</v>
      </c>
      <c r="T30" s="2459"/>
      <c r="U30" s="1299"/>
      <c r="V30" s="2461" t="str">
        <f>IF(TITLE_IST_PUB_CHANGE="",IF(TITLE_IST_PUB="","",TITLE_IST_PUB),TITLE_IST_PUB_CHANGE)</f>
        <v/>
      </c>
      <c r="W30" s="2461"/>
      <c r="X30" s="2461"/>
      <c r="Y30" s="2461"/>
      <c r="Z30" s="2461"/>
      <c r="AA30" s="2461"/>
      <c r="AB30" s="264"/>
      <c r="AC30" s="2461" t="str">
        <f>IF(TITLE_IST_PUB_CHANGE="",IF(TITLE_IST_PUB="","",TITLE_IST_PUB),TITLE_IST_PUB_CHANGE)</f>
        <v/>
      </c>
      <c r="AD30" s="2461"/>
      <c r="AE30" s="2461"/>
      <c r="AF30" s="2461"/>
      <c r="AG30" s="2461"/>
      <c r="AH30" s="2461"/>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459" t="s">
        <v>429</v>
      </c>
      <c r="T32" s="2459"/>
      <c r="U32" s="1299"/>
      <c r="V32" s="2460">
        <f>IF(TITLE_DATE_PR_CHANGE="",IF(TITLE_DATE_PR="","",TITLE_DATE_PR),TITLE_DATE_PR_CHANGE)</f>
        <v>45775</v>
      </c>
      <c r="W32" s="2460"/>
      <c r="X32" s="2460"/>
      <c r="Y32" s="2460"/>
      <c r="Z32" s="2460"/>
      <c r="AA32" s="2460"/>
      <c r="AB32" s="264"/>
      <c r="AC32" s="2460">
        <f>IF(TITLE_DATE_PR_CHANGE="",IF(TITLE_DATE_PR="","",TITLE_DATE_PR),TITLE_DATE_PR_CHANGE)</f>
        <v>45775</v>
      </c>
      <c r="AD32" s="2460"/>
      <c r="AE32" s="2460"/>
      <c r="AF32" s="2460"/>
      <c r="AG32" s="2460"/>
      <c r="AH32" s="2460"/>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459" t="s">
        <v>430</v>
      </c>
      <c r="T33" s="2459"/>
      <c r="U33" s="1299"/>
      <c r="V33" s="2461" t="str">
        <f>IF(TITLE_NUMBER_PR_CHANGE="",IF(TITLE_NUMBER_PR="","",TITLE_NUMBER_PR),TITLE_NUMBER_PR_CHANGE)</f>
        <v>03.5-1382</v>
      </c>
      <c r="W33" s="2461"/>
      <c r="X33" s="2461"/>
      <c r="Y33" s="2461"/>
      <c r="Z33" s="2461"/>
      <c r="AA33" s="2461"/>
      <c r="AB33" s="264"/>
      <c r="AC33" s="2461" t="str">
        <f>IF(TITLE_NUMBER_PR_CHANGE="",IF(TITLE_NUMBER_PR="","",TITLE_NUMBER_PR),TITLE_NUMBER_PR_CHANGE)</f>
        <v>03.5-1382</v>
      </c>
      <c r="AD33" s="2461"/>
      <c r="AE33" s="2461"/>
      <c r="AF33" s="2461"/>
      <c r="AG33" s="2461"/>
      <c r="AH33" s="2461"/>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431</v>
      </c>
      <c r="AC34" s="264"/>
      <c r="AD34" s="264"/>
      <c r="AE34" s="264"/>
      <c r="AF34" s="264"/>
      <c r="AG34" s="264"/>
      <c r="AH34" s="264"/>
      <c r="AI34" s="216" t="s">
        <v>431</v>
      </c>
      <c r="AL34" s="305"/>
      <c r="AM34" s="305"/>
      <c r="AN34" s="305"/>
      <c r="AO34" s="305"/>
      <c r="AP34" s="305"/>
      <c r="AQ34" s="355">
        <v>1</v>
      </c>
    </row>
    <row r="35" spans="1:43" ht="14.65" customHeight="1">
      <c r="Q35" s="313"/>
      <c r="R35" s="313"/>
      <c r="S35" s="1202"/>
      <c r="T35" s="300"/>
      <c r="U35" s="1171"/>
      <c r="V35" s="2480"/>
      <c r="W35" s="2480"/>
      <c r="X35" s="2480"/>
      <c r="Y35" s="2480"/>
      <c r="Z35" s="2480"/>
      <c r="AA35" s="2480"/>
      <c r="AB35" s="2480"/>
      <c r="AC35" s="2480"/>
      <c r="AD35" s="2480"/>
      <c r="AE35" s="2480"/>
      <c r="AF35" s="2480"/>
      <c r="AG35" s="2480"/>
      <c r="AH35" s="2480"/>
      <c r="AI35" s="2480"/>
      <c r="AQ35" s="1082">
        <v>14</v>
      </c>
    </row>
    <row r="36" spans="1:43" ht="14.65" customHeight="1">
      <c r="Q36" s="313"/>
      <c r="R36" s="313"/>
      <c r="S36" s="2332" t="s">
        <v>307</v>
      </c>
      <c r="T36" s="2332"/>
      <c r="U36" s="2332"/>
      <c r="V36" s="2332"/>
      <c r="W36" s="2332"/>
      <c r="X36" s="2332"/>
      <c r="Y36" s="2332"/>
      <c r="Z36" s="2332"/>
      <c r="AA36" s="2332"/>
      <c r="AB36" s="2332"/>
      <c r="AC36" s="2332"/>
      <c r="AD36" s="2332"/>
      <c r="AE36" s="2332"/>
      <c r="AF36" s="2332"/>
      <c r="AG36" s="2332"/>
      <c r="AH36" s="2332"/>
      <c r="AI36" s="2332"/>
      <c r="AJ36" s="2332"/>
      <c r="AK36" s="2332" t="s">
        <v>308</v>
      </c>
      <c r="AQ36" s="1082">
        <v>14</v>
      </c>
    </row>
    <row r="37" spans="1:43" ht="14.65" customHeight="1">
      <c r="Q37" s="313"/>
      <c r="R37" s="313"/>
      <c r="S37" s="2481" t="s">
        <v>89</v>
      </c>
      <c r="T37" s="2429" t="s">
        <v>432</v>
      </c>
      <c r="U37" s="239"/>
      <c r="V37" s="2482" t="s">
        <v>433</v>
      </c>
      <c r="W37" s="2483"/>
      <c r="X37" s="2483"/>
      <c r="Y37" s="2483"/>
      <c r="Z37" s="2483"/>
      <c r="AA37" s="2484"/>
      <c r="AB37" s="2485" t="s">
        <v>434</v>
      </c>
      <c r="AC37" s="2482" t="s">
        <v>433</v>
      </c>
      <c r="AD37" s="2483"/>
      <c r="AE37" s="2483"/>
      <c r="AF37" s="2483"/>
      <c r="AG37" s="2483"/>
      <c r="AH37" s="2484"/>
      <c r="AI37" s="2485" t="s">
        <v>435</v>
      </c>
      <c r="AJ37" s="2488" t="s">
        <v>436</v>
      </c>
      <c r="AK37" s="2332"/>
      <c r="AQ37" s="1082">
        <v>14</v>
      </c>
    </row>
    <row r="38" spans="1:43" ht="35.65" customHeight="1">
      <c r="Q38" s="313"/>
      <c r="R38" s="313"/>
      <c r="S38" s="2481"/>
      <c r="T38" s="2429"/>
      <c r="U38" s="961"/>
      <c r="V38" s="1279" t="s">
        <v>498</v>
      </c>
      <c r="W38" s="2314" t="s">
        <v>439</v>
      </c>
      <c r="X38" s="2313"/>
      <c r="Y38" s="2314" t="s">
        <v>440</v>
      </c>
      <c r="Z38" s="2319"/>
      <c r="AA38" s="2313"/>
      <c r="AB38" s="2486"/>
      <c r="AC38" s="1279" t="s">
        <v>498</v>
      </c>
      <c r="AD38" s="2314" t="s">
        <v>439</v>
      </c>
      <c r="AE38" s="2313"/>
      <c r="AF38" s="2314" t="s">
        <v>440</v>
      </c>
      <c r="AG38" s="2319"/>
      <c r="AH38" s="2313"/>
      <c r="AI38" s="2486"/>
      <c r="AJ38" s="2489"/>
      <c r="AK38" s="2332"/>
      <c r="AQ38" s="1082">
        <v>34</v>
      </c>
    </row>
    <row r="39" spans="1:43" ht="35.65" customHeight="1">
      <c r="A39" s="1297"/>
      <c r="B39" s="1297" t="s">
        <v>136</v>
      </c>
      <c r="C39" s="1297" t="s">
        <v>137</v>
      </c>
      <c r="D39" s="1297" t="s">
        <v>138</v>
      </c>
      <c r="E39" s="1291" t="s">
        <v>441</v>
      </c>
      <c r="F39" s="1291" t="s">
        <v>442</v>
      </c>
      <c r="G39" s="1291" t="s">
        <v>443</v>
      </c>
      <c r="H39" s="1291"/>
      <c r="I39" s="1291" t="s">
        <v>499</v>
      </c>
      <c r="J39" s="1291" t="s">
        <v>446</v>
      </c>
      <c r="K39" s="1291" t="s">
        <v>500</v>
      </c>
      <c r="L39" s="1291" t="s">
        <v>422</v>
      </c>
      <c r="Q39" s="313"/>
      <c r="R39" s="313"/>
      <c r="S39" s="2481"/>
      <c r="T39" s="2429"/>
      <c r="U39" s="240"/>
      <c r="V39" s="1279" t="s">
        <v>501</v>
      </c>
      <c r="W39" s="1149" t="s">
        <v>502</v>
      </c>
      <c r="X39" s="1149" t="s">
        <v>503</v>
      </c>
      <c r="Y39" s="1284" t="s">
        <v>450</v>
      </c>
      <c r="Z39" s="2434" t="s">
        <v>451</v>
      </c>
      <c r="AA39" s="2448"/>
      <c r="AB39" s="2487"/>
      <c r="AC39" s="1279" t="s">
        <v>501</v>
      </c>
      <c r="AD39" s="1149" t="s">
        <v>502</v>
      </c>
      <c r="AE39" s="1149" t="s">
        <v>503</v>
      </c>
      <c r="AF39" s="1284" t="s">
        <v>450</v>
      </c>
      <c r="AG39" s="2434" t="s">
        <v>451</v>
      </c>
      <c r="AH39" s="2448"/>
      <c r="AI39" s="2487"/>
      <c r="AJ39" s="2490"/>
      <c r="AK39" s="2332"/>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280">
        <f ca="1">OFFSET(V40,0,-1)+1</f>
        <v>3</v>
      </c>
      <c r="W40" s="1280">
        <f ca="1">OFFSET(W40,0,-1)+1</f>
        <v>4</v>
      </c>
      <c r="X40" s="1280">
        <f ca="1">OFFSET(X40,0,-1)+1</f>
        <v>5</v>
      </c>
      <c r="Y40" s="1280">
        <f ca="1">OFFSET(Y40,0,-1)+1</f>
        <v>6</v>
      </c>
      <c r="Z40" s="2479">
        <f ca="1">OFFSET(Z40,0,-1)+1</f>
        <v>7</v>
      </c>
      <c r="AA40" s="2479"/>
      <c r="AB40" s="1280">
        <f ca="1">OFFSET(AB40,0,-2)+1</f>
        <v>8</v>
      </c>
      <c r="AC40" s="1280">
        <f ca="1">OFFSET(AC40,0,-1)+1</f>
        <v>9</v>
      </c>
      <c r="AD40" s="1280">
        <f ca="1">OFFSET(AD40,0,-1)+1</f>
        <v>10</v>
      </c>
      <c r="AE40" s="1280">
        <f ca="1">OFFSET(AE40,0,-1)+1</f>
        <v>11</v>
      </c>
      <c r="AF40" s="1280">
        <f ca="1">OFFSET(AF40,0,-1)+1</f>
        <v>12</v>
      </c>
      <c r="AG40" s="2479">
        <f ca="1">OFFSET(AG40,0,-1)+1</f>
        <v>13</v>
      </c>
      <c r="AH40" s="2479"/>
      <c r="AI40" s="1280">
        <f ca="1">OFFSET(AI40,0,-2)+1</f>
        <v>14</v>
      </c>
      <c r="AJ40" s="1172">
        <f ca="1">OFFSET(AJ40,0,-1)</f>
        <v>14</v>
      </c>
      <c r="AK40" s="1280">
        <f ca="1">OFFSET(AK40,0,-1)+1</f>
        <v>15</v>
      </c>
      <c r="AL40" s="448"/>
      <c r="AM40" s="448"/>
      <c r="AN40" s="448"/>
      <c r="AO40" s="448"/>
      <c r="AP40" s="448"/>
      <c r="AQ40" s="433">
        <v>0</v>
      </c>
    </row>
    <row r="41" spans="1:43" ht="24" customHeight="1">
      <c r="A41" s="1290" t="s">
        <v>233</v>
      </c>
      <c r="B41" s="1290"/>
      <c r="C41" s="1290"/>
      <c r="D41" s="1290"/>
      <c r="E41" s="2468">
        <v>1</v>
      </c>
      <c r="F41" s="1290"/>
      <c r="G41" s="1290"/>
      <c r="H41" s="1290"/>
      <c r="I41" s="1290"/>
      <c r="J41" s="1290"/>
      <c r="K41" s="1290"/>
      <c r="L41" s="1291"/>
      <c r="M41" s="1292"/>
      <c r="N41" s="1292"/>
      <c r="O41" s="1292"/>
      <c r="P41" s="298"/>
      <c r="Q41" s="297"/>
      <c r="R41" s="292"/>
      <c r="S41" s="1285">
        <f>INDEX(PT_DIFFERENTIATION_NUM_NTAR,MATCH(A41,PT_DIFFERENTIATION_NTAR_ID,0))</f>
        <v>0</v>
      </c>
      <c r="T41" s="236" t="s">
        <v>124</v>
      </c>
      <c r="U41" s="238"/>
      <c r="V41" s="2462"/>
      <c r="W41" s="2463"/>
      <c r="X41" s="2463"/>
      <c r="Y41" s="2463"/>
      <c r="Z41" s="2463"/>
      <c r="AA41" s="2463"/>
      <c r="AB41" s="2464"/>
      <c r="AC41" s="2462" t="str">
        <f>INDEX(PT_DIFFERENTIATION_NTAR,MATCH(A41,PT_DIFFERENTIATION_NTAR_ID,0))</f>
        <v/>
      </c>
      <c r="AD41" s="2463"/>
      <c r="AE41" s="2463"/>
      <c r="AF41" s="2463"/>
      <c r="AG41" s="2463"/>
      <c r="AH41" s="2463"/>
      <c r="AI41" s="2463"/>
      <c r="AJ41" s="246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233</v>
      </c>
      <c r="B42" s="1290" t="s">
        <v>234</v>
      </c>
      <c r="C42" s="1290"/>
      <c r="D42" s="1290"/>
      <c r="E42" s="2469"/>
      <c r="F42" s="2468">
        <v>1</v>
      </c>
      <c r="G42" s="1290"/>
      <c r="H42" s="1290"/>
      <c r="I42" s="1290"/>
      <c r="J42" s="1290"/>
      <c r="K42" s="1290"/>
      <c r="L42" s="1291"/>
      <c r="M42" s="1292"/>
      <c r="N42" s="1292"/>
      <c r="O42" s="1292"/>
      <c r="P42" s="1283"/>
      <c r="Q42" s="289"/>
      <c r="R42" s="290"/>
      <c r="S42" s="1285" t="str">
        <f>INDEX(PT_DIFFERENTIATION_NUM_TER,MATCH(B42,PT_DIFFERENTIATION_TER_ID,0))</f>
        <v>.</v>
      </c>
      <c r="T42" s="246" t="s">
        <v>404</v>
      </c>
      <c r="U42" s="238"/>
      <c r="V42" s="2462"/>
      <c r="W42" s="2463"/>
      <c r="X42" s="2463"/>
      <c r="Y42" s="2463"/>
      <c r="Z42" s="2463"/>
      <c r="AA42" s="2463"/>
      <c r="AB42" s="2464"/>
      <c r="AC42" s="2462" t="str">
        <f>INDEX(PT_DIFFERENTIATION_TER,MATCH(B42,PT_DIFFERENTIATION_TER_ID,0))</f>
        <v/>
      </c>
      <c r="AD42" s="2463"/>
      <c r="AE42" s="2463"/>
      <c r="AF42" s="2463"/>
      <c r="AG42" s="2463"/>
      <c r="AH42" s="2463"/>
      <c r="AI42" s="2463"/>
      <c r="AJ42" s="2464"/>
      <c r="AK42" s="1185" t="s">
        <v>405</v>
      </c>
      <c r="AM42" s="437"/>
      <c r="AN42" s="437" t="str">
        <f t="shared" si="1"/>
        <v>Территория действия тарифа</v>
      </c>
      <c r="AO42" s="437"/>
      <c r="AP42" s="437"/>
      <c r="AQ42" s="1082">
        <v>23</v>
      </c>
    </row>
    <row r="43" spans="1:43" ht="24" customHeight="1">
      <c r="A43" s="1290" t="s">
        <v>233</v>
      </c>
      <c r="B43" s="1290" t="s">
        <v>234</v>
      </c>
      <c r="C43" s="1290" t="s">
        <v>235</v>
      </c>
      <c r="D43" s="1290"/>
      <c r="E43" s="2469"/>
      <c r="F43" s="2469"/>
      <c r="G43" s="2468">
        <v>1</v>
      </c>
      <c r="H43" s="1290"/>
      <c r="I43" s="1290"/>
      <c r="J43" s="1290"/>
      <c r="K43" s="1290"/>
      <c r="L43" s="1291"/>
      <c r="M43" s="1292"/>
      <c r="N43" s="1292"/>
      <c r="O43" s="1292"/>
      <c r="P43" s="291"/>
      <c r="Q43" s="289"/>
      <c r="R43" s="290"/>
      <c r="S43" s="1285" t="str">
        <f>INDEX(PT_DIFFERENTIATION_NUM_CS,MATCH(C43,PT_DIFFERENTIATION_CS_ID,0))</f>
        <v>..</v>
      </c>
      <c r="T43" s="247" t="s">
        <v>490</v>
      </c>
      <c r="U43" s="238"/>
      <c r="V43" s="2462"/>
      <c r="W43" s="2463"/>
      <c r="X43" s="2463"/>
      <c r="Y43" s="2463"/>
      <c r="Z43" s="2463"/>
      <c r="AA43" s="2463"/>
      <c r="AB43" s="2464"/>
      <c r="AC43" s="2462" t="str">
        <f>INDEX(PT_DIFFERENTIATION_CS,MATCH(C43,PT_DIFFERENTIATION_CS_ID,0))</f>
        <v/>
      </c>
      <c r="AD43" s="2463"/>
      <c r="AE43" s="2463"/>
      <c r="AF43" s="2463"/>
      <c r="AG43" s="2463"/>
      <c r="AH43" s="2463"/>
      <c r="AI43" s="2463"/>
      <c r="AJ43" s="2464"/>
      <c r="AK43" s="1185" t="s">
        <v>491</v>
      </c>
      <c r="AM43" s="437"/>
      <c r="AN43" s="437" t="str">
        <f t="shared" si="1"/>
        <v>Наименование централизованной системы холодного водоснабжения</v>
      </c>
      <c r="AO43" s="437"/>
      <c r="AP43" s="437"/>
      <c r="AQ43" s="1082">
        <v>23</v>
      </c>
    </row>
    <row r="44" spans="1:43" ht="24" customHeight="1">
      <c r="A44" s="1290" t="s">
        <v>233</v>
      </c>
      <c r="B44" s="1290" t="s">
        <v>234</v>
      </c>
      <c r="C44" s="1290" t="s">
        <v>235</v>
      </c>
      <c r="D44" s="1290" t="s">
        <v>504</v>
      </c>
      <c r="E44" s="2469"/>
      <c r="F44" s="2469"/>
      <c r="G44" s="2469"/>
      <c r="H44" s="2469"/>
      <c r="I44" s="2470" t="str">
        <f>S43&amp;".1"</f>
        <v>...1</v>
      </c>
      <c r="J44" s="1290"/>
      <c r="K44" s="1290"/>
      <c r="L44" s="1291"/>
      <c r="P44" s="2472">
        <v>1</v>
      </c>
      <c r="Q44" s="1281"/>
      <c r="R44" s="293"/>
      <c r="S44" s="1285" t="str">
        <f>$I44</f>
        <v>...1</v>
      </c>
      <c r="T44" s="223" t="s">
        <v>492</v>
      </c>
      <c r="U44" s="238"/>
      <c r="V44" s="2549"/>
      <c r="W44" s="2550"/>
      <c r="X44" s="2550"/>
      <c r="Y44" s="2550"/>
      <c r="Z44" s="2550"/>
      <c r="AA44" s="2550"/>
      <c r="AB44" s="2551"/>
      <c r="AC44" s="2552"/>
      <c r="AD44" s="2553"/>
      <c r="AE44" s="2553"/>
      <c r="AF44" s="2553"/>
      <c r="AG44" s="2553"/>
      <c r="AH44" s="2553"/>
      <c r="AI44" s="2553"/>
      <c r="AJ44" s="2554"/>
      <c r="AK44" s="1185" t="s">
        <v>493</v>
      </c>
      <c r="AM44" s="437"/>
      <c r="AN44" s="437" t="str">
        <f t="shared" si="1"/>
        <v>Наименование признака дифференциации</v>
      </c>
      <c r="AO44" s="437"/>
      <c r="AP44" s="437"/>
      <c r="AQ44" s="1082">
        <v>23</v>
      </c>
    </row>
    <row r="45" spans="1:43" ht="24" customHeight="1">
      <c r="A45" s="1290" t="s">
        <v>233</v>
      </c>
      <c r="B45" s="1290" t="s">
        <v>234</v>
      </c>
      <c r="C45" s="1290" t="s">
        <v>235</v>
      </c>
      <c r="D45" s="1290" t="s">
        <v>504</v>
      </c>
      <c r="E45" s="2469"/>
      <c r="F45" s="2469"/>
      <c r="G45" s="2469"/>
      <c r="H45" s="2469"/>
      <c r="I45" s="2471"/>
      <c r="J45" s="2470" t="str">
        <f>I44&amp;".1"</f>
        <v>...1.1</v>
      </c>
      <c r="K45" s="1290"/>
      <c r="L45" s="1291" t="s">
        <v>413</v>
      </c>
      <c r="P45" s="2472"/>
      <c r="Q45" s="2472">
        <v>1</v>
      </c>
      <c r="R45" s="294"/>
      <c r="S45" s="1285" t="str">
        <f>$J45</f>
        <v>...1.1</v>
      </c>
      <c r="T45" s="224" t="s">
        <v>414</v>
      </c>
      <c r="U45" s="238"/>
      <c r="V45" s="2456"/>
      <c r="W45" s="2457"/>
      <c r="X45" s="2457"/>
      <c r="Y45" s="2457"/>
      <c r="Z45" s="2457"/>
      <c r="AA45" s="2457"/>
      <c r="AB45" s="2458"/>
      <c r="AC45" s="2456"/>
      <c r="AD45" s="2457"/>
      <c r="AE45" s="2457"/>
      <c r="AF45" s="2457"/>
      <c r="AG45" s="2457"/>
      <c r="AH45" s="2457"/>
      <c r="AI45" s="2457"/>
      <c r="AJ45" s="2458"/>
      <c r="AK45" s="1234" t="s">
        <v>494</v>
      </c>
      <c r="AM45" s="437"/>
      <c r="AN45" s="437" t="str">
        <f t="shared" si="1"/>
        <v>Группа потребителей</v>
      </c>
      <c r="AO45" s="437"/>
      <c r="AP45" s="437"/>
      <c r="AQ45" s="1082">
        <v>23</v>
      </c>
    </row>
    <row r="46" spans="1:43" ht="24" customHeight="1">
      <c r="A46" s="1290" t="s">
        <v>233</v>
      </c>
      <c r="B46" s="1290" t="s">
        <v>234</v>
      </c>
      <c r="C46" s="1290" t="s">
        <v>235</v>
      </c>
      <c r="D46" s="1290" t="s">
        <v>504</v>
      </c>
      <c r="E46" s="2469"/>
      <c r="F46" s="2469"/>
      <c r="G46" s="2469"/>
      <c r="H46" s="2469"/>
      <c r="I46" s="2471"/>
      <c r="J46" s="2471"/>
      <c r="K46" s="2470" t="str">
        <f>J45&amp;".1"</f>
        <v>...1.1.1</v>
      </c>
      <c r="L46" s="1291"/>
      <c r="P46" s="2472"/>
      <c r="Q46" s="2472"/>
      <c r="R46" s="294">
        <v>1</v>
      </c>
      <c r="S46" s="1285" t="str">
        <f>$K46</f>
        <v>...1.1.1</v>
      </c>
      <c r="T46" s="1364"/>
      <c r="U46" s="238"/>
      <c r="V46" s="1287"/>
      <c r="W46" s="1287"/>
      <c r="X46" s="1288"/>
      <c r="Y46" s="2466"/>
      <c r="Z46" s="2465" t="s">
        <v>67</v>
      </c>
      <c r="AA46" s="2466"/>
      <c r="AB46" s="2465" t="s">
        <v>67</v>
      </c>
      <c r="AC46" s="688"/>
      <c r="AD46" s="688"/>
      <c r="AE46" s="1184"/>
      <c r="AF46" s="2473"/>
      <c r="AG46" s="2342" t="s">
        <v>67</v>
      </c>
      <c r="AH46" s="2475"/>
      <c r="AI46" s="2342" t="s">
        <v>19</v>
      </c>
      <c r="AJ46" s="1365"/>
      <c r="AK46" s="25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233</v>
      </c>
      <c r="B47" s="1290" t="s">
        <v>234</v>
      </c>
      <c r="C47" s="1290" t="s">
        <v>235</v>
      </c>
      <c r="D47" s="1290" t="s">
        <v>504</v>
      </c>
      <c r="E47" s="2469"/>
      <c r="F47" s="2469"/>
      <c r="G47" s="2469"/>
      <c r="H47" s="2469"/>
      <c r="I47" s="2471"/>
      <c r="J47" s="2471"/>
      <c r="K47" s="2470"/>
      <c r="L47" s="1291"/>
      <c r="P47" s="2472"/>
      <c r="Q47" s="2472"/>
      <c r="R47" s="294"/>
      <c r="S47" s="1286"/>
      <c r="T47" s="238"/>
      <c r="U47" s="238"/>
      <c r="V47" s="1287"/>
      <c r="W47" s="1287"/>
      <c r="X47" s="266" t="str">
        <f>Y46&amp;"-"&amp;AA46</f>
        <v>-</v>
      </c>
      <c r="Y47" s="2465"/>
      <c r="Z47" s="2465"/>
      <c r="AA47" s="2465"/>
      <c r="AB47" s="2465"/>
      <c r="AC47" s="263"/>
      <c r="AD47" s="263"/>
      <c r="AE47" s="266" t="str">
        <f>AF46&amp;"-"&amp;AH46</f>
        <v>-</v>
      </c>
      <c r="AF47" s="2474"/>
      <c r="AG47" s="2342"/>
      <c r="AH47" s="2476"/>
      <c r="AI47" s="2342"/>
      <c r="AJ47" s="1366"/>
      <c r="AK47" s="2555"/>
      <c r="AM47" s="437"/>
      <c r="AN47" s="437" t="str">
        <f t="shared" si="1"/>
        <v/>
      </c>
      <c r="AO47" s="437"/>
      <c r="AP47" s="437"/>
      <c r="AQ47" s="1082">
        <v>0</v>
      </c>
    </row>
    <row r="48" spans="1:43" ht="21" customHeight="1">
      <c r="A48" s="1290" t="s">
        <v>233</v>
      </c>
      <c r="B48" s="1290" t="s">
        <v>234</v>
      </c>
      <c r="C48" s="1290" t="s">
        <v>235</v>
      </c>
      <c r="D48" s="1290" t="s">
        <v>504</v>
      </c>
      <c r="E48" s="2469"/>
      <c r="F48" s="2469"/>
      <c r="G48" s="2469"/>
      <c r="H48" s="2469"/>
      <c r="I48" s="2471"/>
      <c r="J48" s="2470"/>
      <c r="K48" s="1290"/>
      <c r="L48" s="1291"/>
      <c r="P48" s="2472"/>
      <c r="Q48" s="2472"/>
      <c r="R48" s="293"/>
      <c r="S48" s="1205"/>
      <c r="T48" s="225" t="s">
        <v>495</v>
      </c>
      <c r="U48" s="304"/>
      <c r="V48" s="304"/>
      <c r="W48" s="304"/>
      <c r="X48" s="304"/>
      <c r="Y48" s="304"/>
      <c r="Z48" s="304"/>
      <c r="AA48" s="304"/>
      <c r="AB48" s="304"/>
      <c r="AC48" s="304"/>
      <c r="AD48" s="304"/>
      <c r="AE48" s="304"/>
      <c r="AF48" s="304"/>
      <c r="AG48" s="304"/>
      <c r="AH48" s="304"/>
      <c r="AI48" s="304"/>
      <c r="AJ48" s="304"/>
      <c r="AK48" s="1185" t="s">
        <v>496</v>
      </c>
      <c r="AM48" s="437"/>
      <c r="AN48" s="437" t="str">
        <f t="shared" si="1"/>
        <v>Добавить значение признака дифференциации</v>
      </c>
      <c r="AO48" s="437"/>
      <c r="AP48" s="437"/>
      <c r="AQ48" s="1082">
        <v>20</v>
      </c>
    </row>
    <row r="49" spans="1:43" ht="21.95" customHeight="1">
      <c r="A49" s="1290" t="s">
        <v>233</v>
      </c>
      <c r="B49" s="1290" t="s">
        <v>234</v>
      </c>
      <c r="C49" s="1290" t="s">
        <v>235</v>
      </c>
      <c r="D49" s="1290" t="s">
        <v>504</v>
      </c>
      <c r="E49" s="2469"/>
      <c r="F49" s="2469"/>
      <c r="G49" s="2469"/>
      <c r="H49" s="2469"/>
      <c r="I49" s="2470"/>
      <c r="J49" s="1290"/>
      <c r="K49" s="1290"/>
      <c r="L49" s="1291"/>
      <c r="P49" s="2472"/>
      <c r="Q49" s="1281"/>
      <c r="R49" s="293"/>
      <c r="S49" s="1205"/>
      <c r="T49" s="302" t="s">
        <v>419</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233</v>
      </c>
      <c r="B50" s="1290" t="s">
        <v>234</v>
      </c>
      <c r="C50" s="1290" t="s">
        <v>235</v>
      </c>
      <c r="D50" s="1290" t="s">
        <v>504</v>
      </c>
      <c r="E50" s="2469"/>
      <c r="F50" s="2469"/>
      <c r="G50" s="2469"/>
      <c r="H50" s="2468"/>
      <c r="I50" s="1290"/>
      <c r="J50" s="1290"/>
      <c r="K50" s="1290"/>
      <c r="L50" s="1291"/>
      <c r="M50" s="1292"/>
      <c r="N50" s="1292"/>
      <c r="O50" s="474"/>
      <c r="P50" s="297"/>
      <c r="Q50" s="312"/>
      <c r="R50" s="292"/>
      <c r="S50" s="1205"/>
      <c r="T50" s="309" t="s">
        <v>497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233</v>
      </c>
      <c r="B51" s="1270" t="s">
        <v>234</v>
      </c>
      <c r="C51" s="1241"/>
      <c r="D51" s="1241"/>
      <c r="E51" s="2469"/>
      <c r="F51" s="2468"/>
      <c r="G51" s="1241"/>
      <c r="H51" s="1241"/>
      <c r="I51" s="1241"/>
      <c r="J51" s="1241"/>
      <c r="K51" s="1241"/>
      <c r="L51" s="1353"/>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233</v>
      </c>
      <c r="B52" s="1270"/>
      <c r="C52" s="1270"/>
      <c r="D52" s="1270"/>
      <c r="E52" s="2468"/>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467"/>
      <c r="U55" s="2467"/>
      <c r="V55" s="2467"/>
      <c r="W55" s="2467"/>
      <c r="X55" s="2467"/>
      <c r="Y55" s="2467"/>
      <c r="Z55" s="2467"/>
      <c r="AA55" s="2467"/>
      <c r="AB55" s="2467"/>
      <c r="AC55" s="2467"/>
      <c r="AD55" s="2467"/>
      <c r="AE55" s="2467"/>
      <c r="AF55" s="2467"/>
      <c r="AG55" s="2467"/>
      <c r="AH55" s="2467"/>
      <c r="AI55" s="2467"/>
      <c r="AJ55" s="2467"/>
      <c r="AK55" s="2467"/>
      <c r="AQ55" s="1082">
        <v>14</v>
      </c>
    </row>
    <row r="56" spans="1:43" ht="14.65" customHeight="1">
      <c r="O56" s="474"/>
      <c r="AQ56" s="1082">
        <v>14</v>
      </c>
    </row>
    <row r="57" spans="1:43" ht="14.65" customHeight="1">
      <c r="O57" s="474"/>
      <c r="S57" s="1180"/>
      <c r="T57" s="2467"/>
      <c r="U57" s="2467"/>
      <c r="V57" s="2467"/>
      <c r="W57" s="2467"/>
      <c r="X57" s="2467"/>
      <c r="Y57" s="2467"/>
      <c r="Z57" s="2467"/>
      <c r="AA57" s="2467"/>
      <c r="AB57" s="2467"/>
      <c r="AC57" s="2467"/>
      <c r="AD57" s="2467"/>
      <c r="AE57" s="2467"/>
      <c r="AF57" s="2467"/>
      <c r="AG57" s="2467"/>
      <c r="AH57" s="2467"/>
      <c r="AI57" s="2467"/>
      <c r="AJ57" s="2467"/>
      <c r="AK57" s="2467"/>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F4369-CA7C-E511-4D3D-E504550F801D}">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2" customWidth="1"/>
    <col min="19" max="19" width="12" style="2009"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468">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462"/>
      <c r="W2" s="2463"/>
      <c r="X2" s="2463"/>
      <c r="Y2" s="2463"/>
      <c r="Z2" s="2463"/>
      <c r="AA2" s="2463"/>
      <c r="AB2" s="2464"/>
      <c r="AC2" s="2462" t="e">
        <f>INDEX(PT_DIFFERENTIATION_NTAR,MATCH(A2,PT_DIFFERENTIATION_NTAR_ID,0))</f>
        <v>#N/A</v>
      </c>
      <c r="AD2" s="2463"/>
      <c r="AE2" s="2463"/>
      <c r="AF2" s="2463"/>
      <c r="AG2" s="2463"/>
      <c r="AH2" s="2463"/>
      <c r="AI2" s="2463"/>
      <c r="AJ2" s="246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469"/>
      <c r="F3" s="2468">
        <v>1</v>
      </c>
      <c r="G3" s="1290"/>
      <c r="H3" s="1290"/>
      <c r="I3" s="1290"/>
      <c r="J3" s="1290"/>
      <c r="K3" s="1290"/>
      <c r="L3" s="1291"/>
      <c r="M3" s="1292"/>
      <c r="N3" s="1292"/>
      <c r="O3" s="1292"/>
      <c r="P3" s="1380"/>
      <c r="Q3" s="289"/>
      <c r="R3" s="290"/>
      <c r="S3" s="1384" t="e">
        <f>INDEX(PT_DIFFERENTIATION_NUM_TER,MATCH(B3,PT_DIFFERENTIATION_TER_ID,0))</f>
        <v>#N/A</v>
      </c>
      <c r="T3" s="246" t="s">
        <v>404</v>
      </c>
      <c r="U3" s="238"/>
      <c r="V3" s="2462"/>
      <c r="W3" s="2463"/>
      <c r="X3" s="2463"/>
      <c r="Y3" s="2463"/>
      <c r="Z3" s="2463"/>
      <c r="AA3" s="2463"/>
      <c r="AB3" s="2464"/>
      <c r="AC3" s="2462" t="e">
        <f>INDEX(PT_DIFFERENTIATION_TER,MATCH(B3,PT_DIFFERENTIATION_TER_ID,0))</f>
        <v>#N/A</v>
      </c>
      <c r="AD3" s="2463"/>
      <c r="AE3" s="2463"/>
      <c r="AF3" s="2463"/>
      <c r="AG3" s="2463"/>
      <c r="AH3" s="2463"/>
      <c r="AI3" s="2463"/>
      <c r="AJ3" s="2464"/>
      <c r="AK3" s="1185" t="s">
        <v>405</v>
      </c>
      <c r="AM3" s="437"/>
      <c r="AN3" s="437" t="str">
        <f t="shared" si="0"/>
        <v>Территория действия тарифа</v>
      </c>
      <c r="AO3" s="437"/>
      <c r="AP3" s="437"/>
      <c r="AQ3" s="1082">
        <v>0</v>
      </c>
    </row>
    <row r="4" spans="1:43" ht="23.25" hidden="1" customHeight="1">
      <c r="A4" s="1290"/>
      <c r="B4" s="1290"/>
      <c r="C4" s="1290"/>
      <c r="D4" s="1290"/>
      <c r="E4" s="2469"/>
      <c r="F4" s="2469"/>
      <c r="G4" s="2468">
        <v>1</v>
      </c>
      <c r="H4" s="1290"/>
      <c r="I4" s="1290"/>
      <c r="J4" s="1290"/>
      <c r="K4" s="1290"/>
      <c r="L4" s="1291"/>
      <c r="M4" s="1292"/>
      <c r="N4" s="1292"/>
      <c r="O4" s="1292"/>
      <c r="P4" s="291"/>
      <c r="Q4" s="289"/>
      <c r="R4" s="290"/>
      <c r="S4" s="1384" t="e">
        <f>INDEX(PT_DIFFERENTIATION_NUM_CS,MATCH(C4,PT_DIFFERENTIATION_CS_ID,0))</f>
        <v>#N/A</v>
      </c>
      <c r="T4" s="247" t="s">
        <v>490</v>
      </c>
      <c r="U4" s="238"/>
      <c r="V4" s="2462"/>
      <c r="W4" s="2463"/>
      <c r="X4" s="2463"/>
      <c r="Y4" s="2463"/>
      <c r="Z4" s="2463"/>
      <c r="AA4" s="2463"/>
      <c r="AB4" s="2464"/>
      <c r="AC4" s="2462" t="e">
        <f>INDEX(PT_DIFFERENTIATION_CS,MATCH(C4,PT_DIFFERENTIATION_CS_ID,0))</f>
        <v>#N/A</v>
      </c>
      <c r="AD4" s="2463"/>
      <c r="AE4" s="2463"/>
      <c r="AF4" s="2463"/>
      <c r="AG4" s="2463"/>
      <c r="AH4" s="2463"/>
      <c r="AI4" s="2463"/>
      <c r="AJ4" s="2464"/>
      <c r="AK4" s="1185" t="s">
        <v>491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469"/>
      <c r="F5" s="2469"/>
      <c r="G5" s="2469"/>
      <c r="H5" s="2469"/>
      <c r="I5" s="2470" t="e">
        <f>S4&amp;".1"</f>
        <v>#N/A</v>
      </c>
      <c r="J5" s="1290"/>
      <c r="K5" s="1290"/>
      <c r="L5" s="1291"/>
      <c r="P5" s="2472">
        <v>1</v>
      </c>
      <c r="Q5" s="1377"/>
      <c r="R5" s="293"/>
      <c r="S5" s="1384" t="e">
        <f>$I5</f>
        <v>#N/A</v>
      </c>
      <c r="T5" s="223" t="s">
        <v>492</v>
      </c>
      <c r="U5" s="238"/>
      <c r="V5" s="2549"/>
      <c r="W5" s="2550"/>
      <c r="X5" s="2550"/>
      <c r="Y5" s="2550"/>
      <c r="Z5" s="2550"/>
      <c r="AA5" s="2550"/>
      <c r="AB5" s="2551"/>
      <c r="AC5" s="2552"/>
      <c r="AD5" s="2553"/>
      <c r="AE5" s="2553"/>
      <c r="AF5" s="2553"/>
      <c r="AG5" s="2553"/>
      <c r="AH5" s="2553"/>
      <c r="AI5" s="2553"/>
      <c r="AJ5" s="2554"/>
      <c r="AK5" s="1185" t="s">
        <v>493</v>
      </c>
      <c r="AM5" s="437"/>
      <c r="AN5" s="437" t="str">
        <f t="shared" si="0"/>
        <v>Наименование признака дифференциации</v>
      </c>
      <c r="AO5" s="437"/>
      <c r="AP5" s="437"/>
      <c r="AQ5" s="1082">
        <v>0</v>
      </c>
    </row>
    <row r="6" spans="1:43" ht="23.25" hidden="1" customHeight="1">
      <c r="A6" s="1290"/>
      <c r="B6" s="1290"/>
      <c r="C6" s="1290"/>
      <c r="D6" s="1290"/>
      <c r="E6" s="2469"/>
      <c r="F6" s="2469"/>
      <c r="G6" s="2469"/>
      <c r="H6" s="2469"/>
      <c r="I6" s="2471"/>
      <c r="J6" s="2470" t="e">
        <f>I5&amp;".1"</f>
        <v>#N/A</v>
      </c>
      <c r="K6" s="1290"/>
      <c r="L6" s="1291" t="s">
        <v>413</v>
      </c>
      <c r="P6" s="2472"/>
      <c r="Q6" s="2472">
        <v>1</v>
      </c>
      <c r="R6" s="294"/>
      <c r="S6" s="1384" t="e">
        <f>$J6</f>
        <v>#N/A</v>
      </c>
      <c r="T6" s="224" t="s">
        <v>414</v>
      </c>
      <c r="U6" s="238"/>
      <c r="V6" s="2456"/>
      <c r="W6" s="2457"/>
      <c r="X6" s="2457"/>
      <c r="Y6" s="2457"/>
      <c r="Z6" s="2457"/>
      <c r="AA6" s="2457"/>
      <c r="AB6" s="2458"/>
      <c r="AC6" s="2456"/>
      <c r="AD6" s="2457"/>
      <c r="AE6" s="2457"/>
      <c r="AF6" s="2457"/>
      <c r="AG6" s="2457"/>
      <c r="AH6" s="2457"/>
      <c r="AI6" s="2457"/>
      <c r="AJ6" s="2458"/>
      <c r="AK6" s="1234" t="s">
        <v>494</v>
      </c>
      <c r="AM6" s="437"/>
      <c r="AN6" s="437" t="str">
        <f t="shared" si="0"/>
        <v>Группа потребителей</v>
      </c>
      <c r="AO6" s="437"/>
      <c r="AP6" s="437"/>
      <c r="AQ6" s="1082">
        <v>0</v>
      </c>
    </row>
    <row r="7" spans="1:43" ht="23.25" hidden="1" customHeight="1">
      <c r="A7" s="1290"/>
      <c r="B7" s="1290"/>
      <c r="C7" s="1290"/>
      <c r="D7" s="1290"/>
      <c r="E7" s="2469"/>
      <c r="F7" s="2469"/>
      <c r="G7" s="2469"/>
      <c r="H7" s="2469"/>
      <c r="I7" s="2471"/>
      <c r="J7" s="2471"/>
      <c r="K7" s="2470" t="e">
        <f>J6&amp;".1"</f>
        <v>#N/A</v>
      </c>
      <c r="L7" s="1291"/>
      <c r="P7" s="2472"/>
      <c r="Q7" s="2472"/>
      <c r="R7" s="294">
        <v>1</v>
      </c>
      <c r="S7" s="1384" t="e">
        <f>$K7</f>
        <v>#N/A</v>
      </c>
      <c r="T7" s="1364"/>
      <c r="U7" s="238"/>
      <c r="V7" s="688"/>
      <c r="W7" s="688"/>
      <c r="X7" s="1184"/>
      <c r="Y7" s="2473"/>
      <c r="Z7" s="2342" t="s">
        <v>67</v>
      </c>
      <c r="AA7" s="2473"/>
      <c r="AB7" s="2342" t="s">
        <v>67</v>
      </c>
      <c r="AC7" s="688"/>
      <c r="AD7" s="688"/>
      <c r="AE7" s="1184"/>
      <c r="AF7" s="2473"/>
      <c r="AG7" s="2342" t="s">
        <v>67</v>
      </c>
      <c r="AH7" s="2475"/>
      <c r="AI7" s="2342" t="s">
        <v>67</v>
      </c>
      <c r="AJ7" s="1365"/>
      <c r="AK7" s="25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469"/>
      <c r="F8" s="2469"/>
      <c r="G8" s="2469"/>
      <c r="H8" s="2469"/>
      <c r="I8" s="2471"/>
      <c r="J8" s="2471"/>
      <c r="K8" s="2470"/>
      <c r="L8" s="1291"/>
      <c r="P8" s="2472"/>
      <c r="Q8" s="2472"/>
      <c r="R8" s="294"/>
      <c r="S8" s="1383"/>
      <c r="T8" s="238"/>
      <c r="U8" s="238"/>
      <c r="V8" s="263"/>
      <c r="W8" s="263"/>
      <c r="X8" s="266" t="str">
        <f>Y7&amp;"-"&amp;AA7</f>
        <v>-</v>
      </c>
      <c r="Y8" s="2474"/>
      <c r="Z8" s="2342"/>
      <c r="AA8" s="2474"/>
      <c r="AB8" s="2342"/>
      <c r="AC8" s="263"/>
      <c r="AD8" s="263"/>
      <c r="AE8" s="266" t="str">
        <f>AF7&amp;"-"&amp;AH7</f>
        <v>-</v>
      </c>
      <c r="AF8" s="2474"/>
      <c r="AG8" s="2342"/>
      <c r="AH8" s="2476"/>
      <c r="AI8" s="2342"/>
      <c r="AJ8" s="1366"/>
      <c r="AK8" s="2555"/>
      <c r="AM8" s="437"/>
      <c r="AN8" s="437" t="str">
        <f t="shared" si="0"/>
        <v/>
      </c>
      <c r="AO8" s="437"/>
      <c r="AP8" s="437"/>
      <c r="AQ8" s="1082">
        <v>0</v>
      </c>
    </row>
    <row r="9" spans="1:43" ht="21" hidden="1" customHeight="1">
      <c r="A9" s="1290"/>
      <c r="B9" s="1290"/>
      <c r="C9" s="1290"/>
      <c r="D9" s="1290"/>
      <c r="E9" s="2469"/>
      <c r="F9" s="2469"/>
      <c r="G9" s="2469"/>
      <c r="H9" s="2469"/>
      <c r="I9" s="2471"/>
      <c r="J9" s="2470"/>
      <c r="K9" s="1290"/>
      <c r="L9" s="1291"/>
      <c r="P9" s="2472"/>
      <c r="Q9" s="2472"/>
      <c r="R9" s="293"/>
      <c r="S9" s="1205"/>
      <c r="T9" s="225" t="s">
        <v>495</v>
      </c>
      <c r="U9" s="304"/>
      <c r="V9" s="304"/>
      <c r="W9" s="304"/>
      <c r="X9" s="304"/>
      <c r="Y9" s="304"/>
      <c r="Z9" s="304"/>
      <c r="AA9" s="304"/>
      <c r="AB9" s="304"/>
      <c r="AC9" s="304"/>
      <c r="AD9" s="304"/>
      <c r="AE9" s="304"/>
      <c r="AF9" s="304"/>
      <c r="AG9" s="304"/>
      <c r="AH9" s="304"/>
      <c r="AI9" s="304"/>
      <c r="AJ9" s="304"/>
      <c r="AK9" s="1185" t="s">
        <v>496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469"/>
      <c r="F10" s="2469"/>
      <c r="G10" s="2469"/>
      <c r="H10" s="2469"/>
      <c r="I10" s="2470"/>
      <c r="J10" s="1290"/>
      <c r="K10" s="1290"/>
      <c r="L10" s="1291"/>
      <c r="P10" s="2472"/>
      <c r="Q10" s="1377"/>
      <c r="R10" s="293"/>
      <c r="S10" s="1205"/>
      <c r="T10" s="302" t="s">
        <v>419</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469"/>
      <c r="F11" s="2469"/>
      <c r="G11" s="2469"/>
      <c r="H11" s="2468"/>
      <c r="I11" s="1290"/>
      <c r="J11" s="1290"/>
      <c r="K11" s="1290"/>
      <c r="L11" s="1291"/>
      <c r="M11" s="1292"/>
      <c r="N11" s="1292"/>
      <c r="O11" s="474"/>
      <c r="P11" s="297"/>
      <c r="Q11" s="312"/>
      <c r="R11" s="292"/>
      <c r="S11" s="1205"/>
      <c r="T11" s="309" t="s">
        <v>497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469"/>
      <c r="F12" s="2468"/>
      <c r="G12" s="1241"/>
      <c r="H12" s="1241"/>
      <c r="I12" s="1241"/>
      <c r="J12" s="1241"/>
      <c r="K12" s="1241"/>
      <c r="L12" s="1385"/>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468"/>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466"/>
      <c r="AG15" s="2465" t="s">
        <v>67</v>
      </c>
      <c r="AH15" s="2466"/>
      <c r="AI15" s="2465" t="s">
        <v>67</v>
      </c>
      <c r="AQ15" s="1082">
        <v>0</v>
      </c>
    </row>
    <row r="16" spans="1:43" ht="14.25" hidden="1" customHeight="1">
      <c r="AC16" s="1287"/>
      <c r="AD16" s="1287"/>
      <c r="AE16" s="266" t="str">
        <f>AF15&amp;"-"&amp;AH15</f>
        <v>-</v>
      </c>
      <c r="AF16" s="2465"/>
      <c r="AG16" s="2465"/>
      <c r="AH16" s="2465"/>
      <c r="AI16" s="2465"/>
      <c r="AQ16" s="1082">
        <v>0</v>
      </c>
    </row>
    <row r="17" spans="1:43" ht="14.25" hidden="1" customHeight="1">
      <c r="AI17" s="265"/>
      <c r="AQ17" s="1082">
        <v>0</v>
      </c>
    </row>
    <row r="18" spans="1:43" s="1293" customFormat="1" ht="22.5" hidden="1" customHeight="1">
      <c r="L18" s="1374"/>
      <c r="M18" s="1289"/>
      <c r="N18" s="1289"/>
      <c r="O18" s="1294" t="s">
        <v>421</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422</v>
      </c>
      <c r="P20" s="1289"/>
      <c r="Q20" s="1369"/>
      <c r="R20" s="1369"/>
      <c r="S20" s="666"/>
      <c r="T20" s="1087" t="s">
        <v>423</v>
      </c>
      <c r="Z20" s="124" t="s">
        <v>424</v>
      </c>
      <c r="AB20" s="124" t="s">
        <v>425</v>
      </c>
      <c r="AC20" s="1087" t="s">
        <v>423</v>
      </c>
      <c r="AG20" s="124" t="s">
        <v>426</v>
      </c>
      <c r="AI20" s="124" t="s">
        <v>425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4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49"/>
      <c r="U24" s="2449"/>
      <c r="V24" s="2449"/>
      <c r="W24" s="2449"/>
      <c r="X24" s="2449"/>
      <c r="Y24" s="2449"/>
      <c r="Z24" s="2449"/>
      <c r="AA24" s="2449"/>
      <c r="AB24" s="2449"/>
      <c r="AC24" s="2449"/>
      <c r="AD24" s="2449"/>
      <c r="AE24" s="2449"/>
      <c r="AF24" s="2449"/>
      <c r="AG24" s="2449"/>
      <c r="AH24" s="2449"/>
      <c r="AI24" s="1170"/>
      <c r="AQ24" s="1082">
        <v>14</v>
      </c>
    </row>
    <row r="25" spans="1:43" ht="14.65" customHeight="1">
      <c r="Q25" s="313"/>
      <c r="R25" s="313"/>
      <c r="S25" s="2421" t="str">
        <f>IF(org=0,"Не определено",org)</f>
        <v>МУП "Городские тепловые сети" МО  "город Курчатов"</v>
      </c>
      <c r="T25" s="2421"/>
      <c r="U25" s="2421"/>
      <c r="V25" s="2421"/>
      <c r="W25" s="2421"/>
      <c r="X25" s="2421"/>
      <c r="Y25" s="2421"/>
      <c r="Z25" s="2421"/>
      <c r="AA25" s="2421"/>
      <c r="AB25" s="2421"/>
      <c r="AC25" s="2421"/>
      <c r="AD25" s="2421"/>
      <c r="AE25" s="2421"/>
      <c r="AF25" s="2421"/>
      <c r="AG25" s="2421"/>
      <c r="AH25" s="2421"/>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459" t="s">
        <v>42</v>
      </c>
      <c r="T27" s="2459"/>
      <c r="U27" s="1299"/>
      <c r="V27" s="2461" t="str">
        <f>IF(TITLE_NAME_OR_PR_CHANGE="",IF(TITLE_NAME_OR_PR="","",TITLE_NAME_OR_PR),TITLE_NAME_OR_PR_CHANGE)</f>
        <v/>
      </c>
      <c r="W27" s="2461"/>
      <c r="X27" s="2461"/>
      <c r="Y27" s="2461"/>
      <c r="Z27" s="2461"/>
      <c r="AA27" s="2461"/>
      <c r="AB27" s="264"/>
      <c r="AC27" s="2461" t="str">
        <f>IF(TITLE_NAME_OR_PR_CHANGE="",IF(TITLE_NAME_OR_PR="","",TITLE_NAME_OR_PR),TITLE_NAME_OR_PR_CHANGE)</f>
        <v/>
      </c>
      <c r="AD27" s="2461"/>
      <c r="AE27" s="2461"/>
      <c r="AF27" s="2461"/>
      <c r="AG27" s="2461"/>
      <c r="AH27" s="2461"/>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459" t="s">
        <v>427</v>
      </c>
      <c r="T28" s="2459"/>
      <c r="U28" s="1299"/>
      <c r="V28" s="2460">
        <f>IF(TITLE_DATE_PR_CHANGE="",IF(TITLE_DATE_PR="","",TITLE_DATE_PR),TITLE_DATE_PR_CHANGE)</f>
        <v>45775</v>
      </c>
      <c r="W28" s="2460"/>
      <c r="X28" s="2460"/>
      <c r="Y28" s="2460"/>
      <c r="Z28" s="2460"/>
      <c r="AA28" s="2460"/>
      <c r="AB28" s="264"/>
      <c r="AC28" s="2460">
        <f>IF(TITLE_DATE_PR_CHANGE="",IF(TITLE_DATE_PR="","",TITLE_DATE_PR),TITLE_DATE_PR_CHANGE)</f>
        <v>45775</v>
      </c>
      <c r="AD28" s="2460"/>
      <c r="AE28" s="2460"/>
      <c r="AF28" s="2460"/>
      <c r="AG28" s="2460"/>
      <c r="AH28" s="2460"/>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459" t="s">
        <v>428</v>
      </c>
      <c r="T29" s="2459"/>
      <c r="U29" s="1299"/>
      <c r="V29" s="2461" t="str">
        <f>IF(TITLE_NUMBER_PR_CHANGE="",IF(TITLE_NUMBER_PR="","",TITLE_NUMBER_PR),TITLE_NUMBER_PR_CHANGE)</f>
        <v>03.5-1382</v>
      </c>
      <c r="W29" s="2461"/>
      <c r="X29" s="2461"/>
      <c r="Y29" s="2461"/>
      <c r="Z29" s="2461"/>
      <c r="AA29" s="2461"/>
      <c r="AB29" s="264"/>
      <c r="AC29" s="2461" t="str">
        <f>IF(TITLE_NUMBER_PR_CHANGE="",IF(TITLE_NUMBER_PR="","",TITLE_NUMBER_PR),TITLE_NUMBER_PR_CHANGE)</f>
        <v>03.5-1382</v>
      </c>
      <c r="AD29" s="2461"/>
      <c r="AE29" s="2461"/>
      <c r="AF29" s="2461"/>
      <c r="AG29" s="2461"/>
      <c r="AH29" s="2461"/>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459" t="s">
        <v>43</v>
      </c>
      <c r="T30" s="2459"/>
      <c r="U30" s="1299"/>
      <c r="V30" s="2461" t="str">
        <f>IF(TITLE_IST_PUB_CHANGE="",IF(TITLE_IST_PUB="","",TITLE_IST_PUB),TITLE_IST_PUB_CHANGE)</f>
        <v/>
      </c>
      <c r="W30" s="2461"/>
      <c r="X30" s="2461"/>
      <c r="Y30" s="2461"/>
      <c r="Z30" s="2461"/>
      <c r="AA30" s="2461"/>
      <c r="AB30" s="264"/>
      <c r="AC30" s="2461" t="str">
        <f>IF(TITLE_IST_PUB_CHANGE="",IF(TITLE_IST_PUB="","",TITLE_IST_PUB),TITLE_IST_PUB_CHANGE)</f>
        <v/>
      </c>
      <c r="AD30" s="2461"/>
      <c r="AE30" s="2461"/>
      <c r="AF30" s="2461"/>
      <c r="AG30" s="2461"/>
      <c r="AH30" s="2461"/>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459" t="s">
        <v>429</v>
      </c>
      <c r="T32" s="2459"/>
      <c r="U32" s="1299"/>
      <c r="V32" s="2460">
        <f>IF(TITLE_DATE_PR_CHANGE="",IF(TITLE_DATE_PR="","",TITLE_DATE_PR),TITLE_DATE_PR_CHANGE)</f>
        <v>45775</v>
      </c>
      <c r="W32" s="2460"/>
      <c r="X32" s="2460"/>
      <c r="Y32" s="2460"/>
      <c r="Z32" s="2460"/>
      <c r="AA32" s="2460"/>
      <c r="AB32" s="264"/>
      <c r="AC32" s="2460">
        <f>IF(TITLE_DATE_PR_CHANGE="",IF(TITLE_DATE_PR="","",TITLE_DATE_PR),TITLE_DATE_PR_CHANGE)</f>
        <v>45775</v>
      </c>
      <c r="AD32" s="2460"/>
      <c r="AE32" s="2460"/>
      <c r="AF32" s="2460"/>
      <c r="AG32" s="2460"/>
      <c r="AH32" s="2460"/>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459" t="s">
        <v>430</v>
      </c>
      <c r="T33" s="2459"/>
      <c r="U33" s="1299"/>
      <c r="V33" s="2461" t="str">
        <f>IF(TITLE_NUMBER_PR_CHANGE="",IF(TITLE_NUMBER_PR="","",TITLE_NUMBER_PR),TITLE_NUMBER_PR_CHANGE)</f>
        <v>03.5-1382</v>
      </c>
      <c r="W33" s="2461"/>
      <c r="X33" s="2461"/>
      <c r="Y33" s="2461"/>
      <c r="Z33" s="2461"/>
      <c r="AA33" s="2461"/>
      <c r="AB33" s="264"/>
      <c r="AC33" s="2461" t="str">
        <f>IF(TITLE_NUMBER_PR_CHANGE="",IF(TITLE_NUMBER_PR="","",TITLE_NUMBER_PR),TITLE_NUMBER_PR_CHANGE)</f>
        <v>03.5-1382</v>
      </c>
      <c r="AD33" s="2461"/>
      <c r="AE33" s="2461"/>
      <c r="AF33" s="2461"/>
      <c r="AG33" s="2461"/>
      <c r="AH33" s="2461"/>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431</v>
      </c>
      <c r="AC34" s="264"/>
      <c r="AD34" s="264"/>
      <c r="AE34" s="264"/>
      <c r="AF34" s="264"/>
      <c r="AG34" s="264"/>
      <c r="AH34" s="264"/>
      <c r="AI34" s="216" t="s">
        <v>431</v>
      </c>
      <c r="AL34" s="305"/>
      <c r="AM34" s="305"/>
      <c r="AN34" s="305"/>
      <c r="AO34" s="305"/>
      <c r="AP34" s="305"/>
      <c r="AQ34" s="355">
        <v>1</v>
      </c>
    </row>
    <row r="35" spans="1:43" ht="14.65" customHeight="1">
      <c r="Q35" s="313"/>
      <c r="R35" s="313"/>
      <c r="S35" s="1202"/>
      <c r="T35" s="300"/>
      <c r="U35" s="1171"/>
      <c r="V35" s="2480"/>
      <c r="W35" s="2480"/>
      <c r="X35" s="2480"/>
      <c r="Y35" s="2480"/>
      <c r="Z35" s="2480"/>
      <c r="AA35" s="2480"/>
      <c r="AB35" s="2480"/>
      <c r="AC35" s="2480"/>
      <c r="AD35" s="2480"/>
      <c r="AE35" s="2480"/>
      <c r="AF35" s="2480"/>
      <c r="AG35" s="2480"/>
      <c r="AH35" s="2480"/>
      <c r="AI35" s="2480"/>
      <c r="AQ35" s="1082">
        <v>14</v>
      </c>
    </row>
    <row r="36" spans="1:43" ht="14.65" customHeight="1">
      <c r="Q36" s="313"/>
      <c r="R36" s="313"/>
      <c r="S36" s="2332" t="s">
        <v>307</v>
      </c>
      <c r="T36" s="2332"/>
      <c r="U36" s="2332"/>
      <c r="V36" s="2332"/>
      <c r="W36" s="2332"/>
      <c r="X36" s="2332"/>
      <c r="Y36" s="2332"/>
      <c r="Z36" s="2332"/>
      <c r="AA36" s="2332"/>
      <c r="AB36" s="2332"/>
      <c r="AC36" s="2332"/>
      <c r="AD36" s="2332"/>
      <c r="AE36" s="2332"/>
      <c r="AF36" s="2332"/>
      <c r="AG36" s="2332"/>
      <c r="AH36" s="2332"/>
      <c r="AI36" s="2332"/>
      <c r="AJ36" s="2332"/>
      <c r="AK36" s="2332" t="s">
        <v>308</v>
      </c>
      <c r="AQ36" s="1082">
        <v>14</v>
      </c>
    </row>
    <row r="37" spans="1:43" ht="14.65" customHeight="1">
      <c r="Q37" s="313"/>
      <c r="R37" s="313"/>
      <c r="S37" s="2481" t="s">
        <v>89</v>
      </c>
      <c r="T37" s="2429" t="s">
        <v>432</v>
      </c>
      <c r="U37" s="239"/>
      <c r="V37" s="2482" t="s">
        <v>433</v>
      </c>
      <c r="W37" s="2483"/>
      <c r="X37" s="2483"/>
      <c r="Y37" s="2483"/>
      <c r="Z37" s="2483"/>
      <c r="AA37" s="2484"/>
      <c r="AB37" s="2485" t="s">
        <v>434</v>
      </c>
      <c r="AC37" s="2482" t="s">
        <v>433</v>
      </c>
      <c r="AD37" s="2483"/>
      <c r="AE37" s="2483"/>
      <c r="AF37" s="2483"/>
      <c r="AG37" s="2483"/>
      <c r="AH37" s="2484"/>
      <c r="AI37" s="2485" t="s">
        <v>435</v>
      </c>
      <c r="AJ37" s="2488" t="s">
        <v>436</v>
      </c>
      <c r="AK37" s="2332"/>
      <c r="AQ37" s="1082">
        <v>14</v>
      </c>
    </row>
    <row r="38" spans="1:43" ht="35.65" customHeight="1">
      <c r="Q38" s="313"/>
      <c r="R38" s="313"/>
      <c r="S38" s="2481"/>
      <c r="T38" s="2429"/>
      <c r="U38" s="961"/>
      <c r="V38" s="1379" t="s">
        <v>498</v>
      </c>
      <c r="W38" s="2314" t="s">
        <v>439</v>
      </c>
      <c r="X38" s="2313"/>
      <c r="Y38" s="2314" t="s">
        <v>440</v>
      </c>
      <c r="Z38" s="2319"/>
      <c r="AA38" s="2313"/>
      <c r="AB38" s="2486"/>
      <c r="AC38" s="1379" t="s">
        <v>498</v>
      </c>
      <c r="AD38" s="2314" t="s">
        <v>439</v>
      </c>
      <c r="AE38" s="2313"/>
      <c r="AF38" s="2314" t="s">
        <v>440</v>
      </c>
      <c r="AG38" s="2319"/>
      <c r="AH38" s="2313"/>
      <c r="AI38" s="2486"/>
      <c r="AJ38" s="2489"/>
      <c r="AK38" s="2332"/>
      <c r="AQ38" s="1082">
        <v>34</v>
      </c>
    </row>
    <row r="39" spans="1:43" ht="35.65" customHeight="1">
      <c r="A39" s="1297"/>
      <c r="B39" s="1297" t="s">
        <v>136</v>
      </c>
      <c r="C39" s="1297" t="s">
        <v>137</v>
      </c>
      <c r="D39" s="1297" t="s">
        <v>138</v>
      </c>
      <c r="E39" s="1291" t="s">
        <v>441</v>
      </c>
      <c r="F39" s="1291" t="s">
        <v>442</v>
      </c>
      <c r="G39" s="1291" t="s">
        <v>443</v>
      </c>
      <c r="H39" s="1291"/>
      <c r="I39" s="1291" t="s">
        <v>499</v>
      </c>
      <c r="J39" s="1291" t="s">
        <v>446</v>
      </c>
      <c r="K39" s="1291" t="s">
        <v>500</v>
      </c>
      <c r="L39" s="1291" t="s">
        <v>422</v>
      </c>
      <c r="Q39" s="313"/>
      <c r="R39" s="313"/>
      <c r="S39" s="2481"/>
      <c r="T39" s="2429"/>
      <c r="U39" s="240"/>
      <c r="V39" s="1379" t="s">
        <v>501</v>
      </c>
      <c r="W39" s="1149" t="s">
        <v>502</v>
      </c>
      <c r="X39" s="1149" t="s">
        <v>503</v>
      </c>
      <c r="Y39" s="1382" t="s">
        <v>450</v>
      </c>
      <c r="Z39" s="2434" t="s">
        <v>451</v>
      </c>
      <c r="AA39" s="2448"/>
      <c r="AB39" s="2487"/>
      <c r="AC39" s="1379" t="s">
        <v>501</v>
      </c>
      <c r="AD39" s="1149" t="s">
        <v>502</v>
      </c>
      <c r="AE39" s="1149" t="s">
        <v>503</v>
      </c>
      <c r="AF39" s="1382" t="s">
        <v>450</v>
      </c>
      <c r="AG39" s="2434" t="s">
        <v>451</v>
      </c>
      <c r="AH39" s="2448"/>
      <c r="AI39" s="2487"/>
      <c r="AJ39" s="2490"/>
      <c r="AK39" s="2332"/>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479">
        <f ca="1">OFFSET(Z40,0,-1)+1</f>
        <v>7</v>
      </c>
      <c r="AA40" s="2479"/>
      <c r="AB40" s="1378">
        <f ca="1">OFFSET(AB40,0,-2)+1</f>
        <v>8</v>
      </c>
      <c r="AC40" s="1378">
        <f ca="1">OFFSET(AC40,0,-1)+1</f>
        <v>9</v>
      </c>
      <c r="AD40" s="1378">
        <f ca="1">OFFSET(AD40,0,-1)+1</f>
        <v>10</v>
      </c>
      <c r="AE40" s="1378">
        <f ca="1">OFFSET(AE40,0,-1)+1</f>
        <v>11</v>
      </c>
      <c r="AF40" s="1378">
        <f ca="1">OFFSET(AF40,0,-1)+1</f>
        <v>12</v>
      </c>
      <c r="AG40" s="2479">
        <f ca="1">OFFSET(AG40,0,-1)+1</f>
        <v>13</v>
      </c>
      <c r="AH40" s="2479"/>
      <c r="AI40" s="1378">
        <f ca="1">OFFSET(AI40,0,-2)+1</f>
        <v>14</v>
      </c>
      <c r="AJ40" s="1172">
        <f ca="1">OFFSET(AJ40,0,-1)</f>
        <v>14</v>
      </c>
      <c r="AK40" s="1378">
        <f ca="1">OFFSET(AK40,0,-1)+1</f>
        <v>15</v>
      </c>
      <c r="AL40" s="448"/>
      <c r="AM40" s="448"/>
      <c r="AN40" s="448"/>
      <c r="AO40" s="448"/>
      <c r="AP40" s="448"/>
      <c r="AQ40" s="433">
        <v>0</v>
      </c>
    </row>
    <row r="41" spans="1:43" ht="24" customHeight="1">
      <c r="A41" s="1290" t="s">
        <v>238</v>
      </c>
      <c r="B41" s="1290"/>
      <c r="C41" s="1290"/>
      <c r="D41" s="1290"/>
      <c r="E41" s="2468">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462"/>
      <c r="W41" s="2463"/>
      <c r="X41" s="2463"/>
      <c r="Y41" s="2463"/>
      <c r="Z41" s="2463"/>
      <c r="AA41" s="2463"/>
      <c r="AB41" s="2464"/>
      <c r="AC41" s="2462" t="str">
        <f>INDEX(PT_DIFFERENTIATION_NTAR,MATCH(A41,PT_DIFFERENTIATION_NTAR_ID,0))</f>
        <v/>
      </c>
      <c r="AD41" s="2463"/>
      <c r="AE41" s="2463"/>
      <c r="AF41" s="2463"/>
      <c r="AG41" s="2463"/>
      <c r="AH41" s="2463"/>
      <c r="AI41" s="2463"/>
      <c r="AJ41" s="246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238</v>
      </c>
      <c r="B42" s="1290" t="s">
        <v>239</v>
      </c>
      <c r="C42" s="1290"/>
      <c r="D42" s="1290"/>
      <c r="E42" s="2469"/>
      <c r="F42" s="2468">
        <v>1</v>
      </c>
      <c r="G42" s="1290"/>
      <c r="H42" s="1290"/>
      <c r="I42" s="1290"/>
      <c r="J42" s="1290"/>
      <c r="K42" s="1290"/>
      <c r="L42" s="1291"/>
      <c r="M42" s="1292"/>
      <c r="N42" s="1292"/>
      <c r="O42" s="1292"/>
      <c r="P42" s="1380"/>
      <c r="Q42" s="289"/>
      <c r="R42" s="290"/>
      <c r="S42" s="1384" t="str">
        <f>INDEX(PT_DIFFERENTIATION_NUM_TER,MATCH(B42,PT_DIFFERENTIATION_TER_ID,0))</f>
        <v>.</v>
      </c>
      <c r="T42" s="246" t="s">
        <v>404</v>
      </c>
      <c r="U42" s="238"/>
      <c r="V42" s="2462"/>
      <c r="W42" s="2463"/>
      <c r="X42" s="2463"/>
      <c r="Y42" s="2463"/>
      <c r="Z42" s="2463"/>
      <c r="AA42" s="2463"/>
      <c r="AB42" s="2464"/>
      <c r="AC42" s="2462" t="str">
        <f>INDEX(PT_DIFFERENTIATION_TER,MATCH(B42,PT_DIFFERENTIATION_TER_ID,0))</f>
        <v/>
      </c>
      <c r="AD42" s="2463"/>
      <c r="AE42" s="2463"/>
      <c r="AF42" s="2463"/>
      <c r="AG42" s="2463"/>
      <c r="AH42" s="2463"/>
      <c r="AI42" s="2463"/>
      <c r="AJ42" s="2464"/>
      <c r="AK42" s="1185" t="s">
        <v>405</v>
      </c>
      <c r="AM42" s="437"/>
      <c r="AN42" s="437" t="str">
        <f t="shared" si="1"/>
        <v>Территория действия тарифа</v>
      </c>
      <c r="AO42" s="437"/>
      <c r="AP42" s="437"/>
      <c r="AQ42" s="1082">
        <v>23</v>
      </c>
    </row>
    <row r="43" spans="1:43" ht="24" customHeight="1">
      <c r="A43" s="1290" t="s">
        <v>238</v>
      </c>
      <c r="B43" s="1290" t="s">
        <v>239</v>
      </c>
      <c r="C43" s="1290" t="s">
        <v>240</v>
      </c>
      <c r="D43" s="1290"/>
      <c r="E43" s="2469"/>
      <c r="F43" s="2469"/>
      <c r="G43" s="2468">
        <v>1</v>
      </c>
      <c r="H43" s="1290"/>
      <c r="I43" s="1290"/>
      <c r="J43" s="1290"/>
      <c r="K43" s="1290"/>
      <c r="L43" s="1291"/>
      <c r="M43" s="1292"/>
      <c r="N43" s="1292"/>
      <c r="O43" s="1292"/>
      <c r="P43" s="291"/>
      <c r="Q43" s="289"/>
      <c r="R43" s="290"/>
      <c r="S43" s="1384" t="str">
        <f>INDEX(PT_DIFFERENTIATION_NUM_CS,MATCH(C43,PT_DIFFERENTIATION_CS_ID,0))</f>
        <v>..</v>
      </c>
      <c r="T43" s="247" t="s">
        <v>490</v>
      </c>
      <c r="U43" s="238"/>
      <c r="V43" s="2462"/>
      <c r="W43" s="2463"/>
      <c r="X43" s="2463"/>
      <c r="Y43" s="2463"/>
      <c r="Z43" s="2463"/>
      <c r="AA43" s="2463"/>
      <c r="AB43" s="2464"/>
      <c r="AC43" s="2462" t="str">
        <f>INDEX(PT_DIFFERENTIATION_CS,MATCH(C43,PT_DIFFERENTIATION_CS_ID,0))</f>
        <v/>
      </c>
      <c r="AD43" s="2463"/>
      <c r="AE43" s="2463"/>
      <c r="AF43" s="2463"/>
      <c r="AG43" s="2463"/>
      <c r="AH43" s="2463"/>
      <c r="AI43" s="2463"/>
      <c r="AJ43" s="2464"/>
      <c r="AK43" s="1185" t="s">
        <v>491</v>
      </c>
      <c r="AM43" s="437"/>
      <c r="AN43" s="437" t="str">
        <f t="shared" si="1"/>
        <v>Наименование централизованной системы холодного водоснабжения</v>
      </c>
      <c r="AO43" s="437"/>
      <c r="AP43" s="437"/>
      <c r="AQ43" s="1082">
        <v>23</v>
      </c>
    </row>
    <row r="44" spans="1:43" ht="24" customHeight="1">
      <c r="A44" s="1290" t="s">
        <v>238</v>
      </c>
      <c r="B44" s="1290" t="s">
        <v>239</v>
      </c>
      <c r="C44" s="1290" t="s">
        <v>240</v>
      </c>
      <c r="D44" s="1290" t="s">
        <v>505</v>
      </c>
      <c r="E44" s="2469"/>
      <c r="F44" s="2469"/>
      <c r="G44" s="2469"/>
      <c r="H44" s="2469"/>
      <c r="I44" s="2470" t="str">
        <f>S43&amp;".1"</f>
        <v>...1</v>
      </c>
      <c r="J44" s="1290"/>
      <c r="K44" s="1290"/>
      <c r="L44" s="1291"/>
      <c r="P44" s="2472">
        <v>1</v>
      </c>
      <c r="Q44" s="1377"/>
      <c r="R44" s="293"/>
      <c r="S44" s="1384" t="str">
        <f>$I44</f>
        <v>...1</v>
      </c>
      <c r="T44" s="223" t="s">
        <v>492</v>
      </c>
      <c r="U44" s="238"/>
      <c r="V44" s="2549"/>
      <c r="W44" s="2550"/>
      <c r="X44" s="2550"/>
      <c r="Y44" s="2550"/>
      <c r="Z44" s="2550"/>
      <c r="AA44" s="2550"/>
      <c r="AB44" s="2551"/>
      <c r="AC44" s="2552"/>
      <c r="AD44" s="2553"/>
      <c r="AE44" s="2553"/>
      <c r="AF44" s="2553"/>
      <c r="AG44" s="2553"/>
      <c r="AH44" s="2553"/>
      <c r="AI44" s="2553"/>
      <c r="AJ44" s="2554"/>
      <c r="AK44" s="1185" t="s">
        <v>493</v>
      </c>
      <c r="AM44" s="437"/>
      <c r="AN44" s="437" t="str">
        <f t="shared" si="1"/>
        <v>Наименование признака дифференциации</v>
      </c>
      <c r="AO44" s="437"/>
      <c r="AP44" s="437"/>
      <c r="AQ44" s="1082">
        <v>23</v>
      </c>
    </row>
    <row r="45" spans="1:43" ht="24" customHeight="1">
      <c r="A45" s="1290" t="s">
        <v>238</v>
      </c>
      <c r="B45" s="1290" t="s">
        <v>239</v>
      </c>
      <c r="C45" s="1290" t="s">
        <v>240</v>
      </c>
      <c r="D45" s="1290" t="s">
        <v>505</v>
      </c>
      <c r="E45" s="2469"/>
      <c r="F45" s="2469"/>
      <c r="G45" s="2469"/>
      <c r="H45" s="2469"/>
      <c r="I45" s="2471"/>
      <c r="J45" s="2470" t="str">
        <f>I44&amp;".1"</f>
        <v>...1.1</v>
      </c>
      <c r="K45" s="1290"/>
      <c r="L45" s="1291" t="s">
        <v>413</v>
      </c>
      <c r="P45" s="2472"/>
      <c r="Q45" s="2472">
        <v>1</v>
      </c>
      <c r="R45" s="294"/>
      <c r="S45" s="1384" t="str">
        <f>$J45</f>
        <v>...1.1</v>
      </c>
      <c r="T45" s="224" t="s">
        <v>414</v>
      </c>
      <c r="U45" s="238"/>
      <c r="V45" s="2456"/>
      <c r="W45" s="2457"/>
      <c r="X45" s="2457"/>
      <c r="Y45" s="2457"/>
      <c r="Z45" s="2457"/>
      <c r="AA45" s="2457"/>
      <c r="AB45" s="2458"/>
      <c r="AC45" s="2456"/>
      <c r="AD45" s="2457"/>
      <c r="AE45" s="2457"/>
      <c r="AF45" s="2457"/>
      <c r="AG45" s="2457"/>
      <c r="AH45" s="2457"/>
      <c r="AI45" s="2457"/>
      <c r="AJ45" s="2458"/>
      <c r="AK45" s="1234" t="s">
        <v>494</v>
      </c>
      <c r="AM45" s="437"/>
      <c r="AN45" s="437" t="str">
        <f t="shared" si="1"/>
        <v>Группа потребителей</v>
      </c>
      <c r="AO45" s="437"/>
      <c r="AP45" s="437"/>
      <c r="AQ45" s="1082">
        <v>23</v>
      </c>
    </row>
    <row r="46" spans="1:43" ht="24" customHeight="1">
      <c r="A46" s="1290" t="s">
        <v>238</v>
      </c>
      <c r="B46" s="1290" t="s">
        <v>239</v>
      </c>
      <c r="C46" s="1290" t="s">
        <v>240</v>
      </c>
      <c r="D46" s="1290" t="s">
        <v>505</v>
      </c>
      <c r="E46" s="2469"/>
      <c r="F46" s="2469"/>
      <c r="G46" s="2469"/>
      <c r="H46" s="2469"/>
      <c r="I46" s="2471"/>
      <c r="J46" s="2471"/>
      <c r="K46" s="2470" t="str">
        <f>J45&amp;".1"</f>
        <v>...1.1.1</v>
      </c>
      <c r="L46" s="1291"/>
      <c r="P46" s="2472"/>
      <c r="Q46" s="2472"/>
      <c r="R46" s="294">
        <v>1</v>
      </c>
      <c r="S46" s="1384" t="str">
        <f>$K46</f>
        <v>...1.1.1</v>
      </c>
      <c r="T46" s="1364"/>
      <c r="U46" s="238"/>
      <c r="V46" s="688"/>
      <c r="W46" s="688"/>
      <c r="X46" s="1184"/>
      <c r="Y46" s="2473"/>
      <c r="Z46" s="2342" t="s">
        <v>67</v>
      </c>
      <c r="AA46" s="2473"/>
      <c r="AB46" s="2342" t="s">
        <v>67</v>
      </c>
      <c r="AC46" s="688"/>
      <c r="AD46" s="688"/>
      <c r="AE46" s="1184"/>
      <c r="AF46" s="2473"/>
      <c r="AG46" s="2342" t="s">
        <v>67</v>
      </c>
      <c r="AH46" s="2475"/>
      <c r="AI46" s="2342" t="s">
        <v>67</v>
      </c>
      <c r="AJ46" s="1365"/>
      <c r="AK46" s="25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238</v>
      </c>
      <c r="B47" s="1290" t="s">
        <v>239</v>
      </c>
      <c r="C47" s="1290" t="s">
        <v>240</v>
      </c>
      <c r="D47" s="1290" t="s">
        <v>505</v>
      </c>
      <c r="E47" s="2469"/>
      <c r="F47" s="2469"/>
      <c r="G47" s="2469"/>
      <c r="H47" s="2469"/>
      <c r="I47" s="2471"/>
      <c r="J47" s="2471"/>
      <c r="K47" s="2470"/>
      <c r="L47" s="1291"/>
      <c r="P47" s="2472"/>
      <c r="Q47" s="2472"/>
      <c r="R47" s="294"/>
      <c r="S47" s="1383"/>
      <c r="T47" s="238"/>
      <c r="U47" s="238"/>
      <c r="V47" s="263"/>
      <c r="W47" s="263"/>
      <c r="X47" s="266" t="str">
        <f>Y46&amp;"-"&amp;AA46</f>
        <v>-</v>
      </c>
      <c r="Y47" s="2474"/>
      <c r="Z47" s="2342"/>
      <c r="AA47" s="2474"/>
      <c r="AB47" s="2342"/>
      <c r="AC47" s="263"/>
      <c r="AD47" s="263"/>
      <c r="AE47" s="266" t="str">
        <f>AF46&amp;"-"&amp;AH46</f>
        <v>-</v>
      </c>
      <c r="AF47" s="2474"/>
      <c r="AG47" s="2342"/>
      <c r="AH47" s="2476"/>
      <c r="AI47" s="2342"/>
      <c r="AJ47" s="1366"/>
      <c r="AK47" s="2555"/>
      <c r="AM47" s="437"/>
      <c r="AN47" s="437" t="str">
        <f t="shared" si="1"/>
        <v/>
      </c>
      <c r="AO47" s="437"/>
      <c r="AP47" s="437"/>
      <c r="AQ47" s="1082">
        <v>0</v>
      </c>
    </row>
    <row r="48" spans="1:43" ht="21" customHeight="1">
      <c r="A48" s="1290" t="s">
        <v>238</v>
      </c>
      <c r="B48" s="1290" t="s">
        <v>239</v>
      </c>
      <c r="C48" s="1290" t="s">
        <v>240</v>
      </c>
      <c r="D48" s="1290" t="s">
        <v>505</v>
      </c>
      <c r="E48" s="2469"/>
      <c r="F48" s="2469"/>
      <c r="G48" s="2469"/>
      <c r="H48" s="2469"/>
      <c r="I48" s="2471"/>
      <c r="J48" s="2470"/>
      <c r="K48" s="1290"/>
      <c r="L48" s="1291"/>
      <c r="P48" s="2472"/>
      <c r="Q48" s="2472"/>
      <c r="R48" s="293"/>
      <c r="S48" s="1205"/>
      <c r="T48" s="225" t="s">
        <v>495</v>
      </c>
      <c r="U48" s="304"/>
      <c r="V48" s="304"/>
      <c r="W48" s="304"/>
      <c r="X48" s="304"/>
      <c r="Y48" s="304"/>
      <c r="Z48" s="304"/>
      <c r="AA48" s="304"/>
      <c r="AB48" s="304"/>
      <c r="AC48" s="304"/>
      <c r="AD48" s="304"/>
      <c r="AE48" s="304"/>
      <c r="AF48" s="304"/>
      <c r="AG48" s="304"/>
      <c r="AH48" s="304"/>
      <c r="AI48" s="304"/>
      <c r="AJ48" s="304"/>
      <c r="AK48" s="1185" t="s">
        <v>496</v>
      </c>
      <c r="AM48" s="437"/>
      <c r="AN48" s="437" t="str">
        <f t="shared" si="1"/>
        <v>Добавить значение признака дифференциации</v>
      </c>
      <c r="AO48" s="437"/>
      <c r="AP48" s="437"/>
      <c r="AQ48" s="1082">
        <v>20</v>
      </c>
    </row>
    <row r="49" spans="1:43" ht="21.95" customHeight="1">
      <c r="A49" s="1290" t="s">
        <v>238</v>
      </c>
      <c r="B49" s="1290" t="s">
        <v>239</v>
      </c>
      <c r="C49" s="1290" t="s">
        <v>240</v>
      </c>
      <c r="D49" s="1290" t="s">
        <v>505</v>
      </c>
      <c r="E49" s="2469"/>
      <c r="F49" s="2469"/>
      <c r="G49" s="2469"/>
      <c r="H49" s="2469"/>
      <c r="I49" s="2470"/>
      <c r="J49" s="1290"/>
      <c r="K49" s="1290"/>
      <c r="L49" s="1291"/>
      <c r="P49" s="2472"/>
      <c r="Q49" s="1377"/>
      <c r="R49" s="293"/>
      <c r="S49" s="1205"/>
      <c r="T49" s="302" t="s">
        <v>419</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238</v>
      </c>
      <c r="B50" s="1290" t="s">
        <v>239</v>
      </c>
      <c r="C50" s="1290" t="s">
        <v>240</v>
      </c>
      <c r="D50" s="1290" t="s">
        <v>505</v>
      </c>
      <c r="E50" s="2469"/>
      <c r="F50" s="2469"/>
      <c r="G50" s="2469"/>
      <c r="H50" s="2468"/>
      <c r="I50" s="1290"/>
      <c r="J50" s="1290"/>
      <c r="K50" s="1290"/>
      <c r="L50" s="1291"/>
      <c r="M50" s="1292"/>
      <c r="N50" s="1292"/>
      <c r="O50" s="474"/>
      <c r="P50" s="297"/>
      <c r="Q50" s="312"/>
      <c r="R50" s="292"/>
      <c r="S50" s="1205"/>
      <c r="T50" s="309" t="s">
        <v>497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238</v>
      </c>
      <c r="B51" s="1270" t="s">
        <v>239</v>
      </c>
      <c r="C51" s="1241"/>
      <c r="D51" s="1241"/>
      <c r="E51" s="2469"/>
      <c r="F51" s="2468"/>
      <c r="G51" s="1241"/>
      <c r="H51" s="1241"/>
      <c r="I51" s="1241"/>
      <c r="J51" s="1241"/>
      <c r="K51" s="1241"/>
      <c r="L51" s="1385"/>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238</v>
      </c>
      <c r="B52" s="1270"/>
      <c r="C52" s="1270"/>
      <c r="D52" s="1270"/>
      <c r="E52" s="2468"/>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467"/>
      <c r="U55" s="2467"/>
      <c r="V55" s="2467"/>
      <c r="W55" s="2467"/>
      <c r="X55" s="2467"/>
      <c r="Y55" s="2467"/>
      <c r="Z55" s="2467"/>
      <c r="AA55" s="2467"/>
      <c r="AB55" s="2467"/>
      <c r="AC55" s="2467"/>
      <c r="AD55" s="2467"/>
      <c r="AE55" s="2467"/>
      <c r="AF55" s="2467"/>
      <c r="AG55" s="2467"/>
      <c r="AH55" s="2467"/>
      <c r="AI55" s="2467"/>
      <c r="AJ55" s="2467"/>
      <c r="AK55" s="2467"/>
      <c r="AQ55" s="1082">
        <v>14</v>
      </c>
    </row>
    <row r="56" spans="1:43" ht="14.65" customHeight="1">
      <c r="O56" s="474"/>
      <c r="AQ56" s="1082">
        <v>14</v>
      </c>
    </row>
    <row r="57" spans="1:43" ht="14.65" customHeight="1">
      <c r="O57" s="474"/>
      <c r="S57" s="1180"/>
      <c r="T57" s="2467"/>
      <c r="U57" s="2467"/>
      <c r="V57" s="2467"/>
      <c r="W57" s="2467"/>
      <c r="X57" s="2467"/>
      <c r="Y57" s="2467"/>
      <c r="Z57" s="2467"/>
      <c r="AA57" s="2467"/>
      <c r="AB57" s="2467"/>
      <c r="AC57" s="2467"/>
      <c r="AD57" s="2467"/>
      <c r="AE57" s="2467"/>
      <c r="AF57" s="2467"/>
      <c r="AG57" s="2467"/>
      <c r="AH57" s="2467"/>
      <c r="AI57" s="2467"/>
      <c r="AJ57" s="2467"/>
      <c r="AK57" s="2467"/>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AE847-0FD5-1FCD-48CD-0F48E2000DF4}">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2" customWidth="1"/>
    <col min="19" max="19" width="12" style="2009"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468">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462"/>
      <c r="W2" s="2463"/>
      <c r="X2" s="2463"/>
      <c r="Y2" s="2463"/>
      <c r="Z2" s="2463"/>
      <c r="AA2" s="2463"/>
      <c r="AB2" s="2464"/>
      <c r="AC2" s="2462" t="e">
        <f>INDEX(PT_DIFFERENTIATION_NTAR,MATCH(A2,PT_DIFFERENTIATION_NTAR_ID,0))</f>
        <v>#N/A</v>
      </c>
      <c r="AD2" s="2463"/>
      <c r="AE2" s="2463"/>
      <c r="AF2" s="2463"/>
      <c r="AG2" s="2463"/>
      <c r="AH2" s="2463"/>
      <c r="AI2" s="2463"/>
      <c r="AJ2" s="246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469"/>
      <c r="F3" s="2468">
        <v>1</v>
      </c>
      <c r="G3" s="1290"/>
      <c r="H3" s="1290"/>
      <c r="I3" s="1290"/>
      <c r="J3" s="1290"/>
      <c r="K3" s="1290"/>
      <c r="L3" s="1291"/>
      <c r="M3" s="1292"/>
      <c r="N3" s="1292"/>
      <c r="O3" s="1292"/>
      <c r="P3" s="1380"/>
      <c r="Q3" s="289"/>
      <c r="R3" s="290"/>
      <c r="S3" s="1384" t="e">
        <f>INDEX(PT_DIFFERENTIATION_NUM_TER,MATCH(B3,PT_DIFFERENTIATION_TER_ID,0))</f>
        <v>#N/A</v>
      </c>
      <c r="T3" s="246" t="s">
        <v>404</v>
      </c>
      <c r="U3" s="238"/>
      <c r="V3" s="2462"/>
      <c r="W3" s="2463"/>
      <c r="X3" s="2463"/>
      <c r="Y3" s="2463"/>
      <c r="Z3" s="2463"/>
      <c r="AA3" s="2463"/>
      <c r="AB3" s="2464"/>
      <c r="AC3" s="2462" t="e">
        <f>INDEX(PT_DIFFERENTIATION_TER,MATCH(B3,PT_DIFFERENTIATION_TER_ID,0))</f>
        <v>#N/A</v>
      </c>
      <c r="AD3" s="2463"/>
      <c r="AE3" s="2463"/>
      <c r="AF3" s="2463"/>
      <c r="AG3" s="2463"/>
      <c r="AH3" s="2463"/>
      <c r="AI3" s="2463"/>
      <c r="AJ3" s="2464"/>
      <c r="AK3" s="1185" t="s">
        <v>405</v>
      </c>
      <c r="AM3" s="437"/>
      <c r="AN3" s="437" t="str">
        <f t="shared" si="0"/>
        <v>Территория действия тарифа</v>
      </c>
      <c r="AO3" s="437"/>
      <c r="AP3" s="437"/>
      <c r="AQ3" s="1082">
        <v>0</v>
      </c>
    </row>
    <row r="4" spans="1:43" ht="23.25" hidden="1" customHeight="1">
      <c r="A4" s="1290"/>
      <c r="B4" s="1290"/>
      <c r="C4" s="1290"/>
      <c r="D4" s="1290"/>
      <c r="E4" s="2469"/>
      <c r="F4" s="2469"/>
      <c r="G4" s="2468">
        <v>1</v>
      </c>
      <c r="H4" s="1290"/>
      <c r="I4" s="1290"/>
      <c r="J4" s="1290"/>
      <c r="K4" s="1290"/>
      <c r="L4" s="1291"/>
      <c r="M4" s="1292"/>
      <c r="N4" s="1292"/>
      <c r="O4" s="1292"/>
      <c r="P4" s="291"/>
      <c r="Q4" s="289"/>
      <c r="R4" s="290"/>
      <c r="S4" s="1384" t="e">
        <f>INDEX(PT_DIFFERENTIATION_NUM_CS,MATCH(C4,PT_DIFFERENTIATION_CS_ID,0))</f>
        <v>#N/A</v>
      </c>
      <c r="T4" s="247" t="s">
        <v>490</v>
      </c>
      <c r="U4" s="238"/>
      <c r="V4" s="2462"/>
      <c r="W4" s="2463"/>
      <c r="X4" s="2463"/>
      <c r="Y4" s="2463"/>
      <c r="Z4" s="2463"/>
      <c r="AA4" s="2463"/>
      <c r="AB4" s="2464"/>
      <c r="AC4" s="2462" t="e">
        <f>INDEX(PT_DIFFERENTIATION_CS,MATCH(C4,PT_DIFFERENTIATION_CS_ID,0))</f>
        <v>#N/A</v>
      </c>
      <c r="AD4" s="2463"/>
      <c r="AE4" s="2463"/>
      <c r="AF4" s="2463"/>
      <c r="AG4" s="2463"/>
      <c r="AH4" s="2463"/>
      <c r="AI4" s="2463"/>
      <c r="AJ4" s="2464"/>
      <c r="AK4" s="1185" t="s">
        <v>491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469"/>
      <c r="F5" s="2469"/>
      <c r="G5" s="2469"/>
      <c r="H5" s="2469"/>
      <c r="I5" s="2470" t="e">
        <f>S4&amp;".1"</f>
        <v>#N/A</v>
      </c>
      <c r="J5" s="1290"/>
      <c r="K5" s="1290"/>
      <c r="L5" s="1291"/>
      <c r="P5" s="2472">
        <v>1</v>
      </c>
      <c r="Q5" s="1377"/>
      <c r="R5" s="293"/>
      <c r="S5" s="1384" t="e">
        <f>$I5</f>
        <v>#N/A</v>
      </c>
      <c r="T5" s="223" t="s">
        <v>492</v>
      </c>
      <c r="U5" s="238"/>
      <c r="V5" s="2549"/>
      <c r="W5" s="2550"/>
      <c r="X5" s="2550"/>
      <c r="Y5" s="2550"/>
      <c r="Z5" s="2550"/>
      <c r="AA5" s="2550"/>
      <c r="AB5" s="2551"/>
      <c r="AC5" s="2552"/>
      <c r="AD5" s="2553"/>
      <c r="AE5" s="2553"/>
      <c r="AF5" s="2553"/>
      <c r="AG5" s="2553"/>
      <c r="AH5" s="2553"/>
      <c r="AI5" s="2553"/>
      <c r="AJ5" s="2554"/>
      <c r="AK5" s="1185" t="s">
        <v>493</v>
      </c>
      <c r="AM5" s="437"/>
      <c r="AN5" s="437" t="str">
        <f t="shared" si="0"/>
        <v>Наименование признака дифференциации</v>
      </c>
      <c r="AO5" s="437"/>
      <c r="AP5" s="437"/>
      <c r="AQ5" s="1082">
        <v>0</v>
      </c>
    </row>
    <row r="6" spans="1:43" ht="23.25" hidden="1" customHeight="1">
      <c r="A6" s="1290"/>
      <c r="B6" s="1290"/>
      <c r="C6" s="1290"/>
      <c r="D6" s="1290"/>
      <c r="E6" s="2469"/>
      <c r="F6" s="2469"/>
      <c r="G6" s="2469"/>
      <c r="H6" s="2469"/>
      <c r="I6" s="2471"/>
      <c r="J6" s="2470" t="e">
        <f>I5&amp;".1"</f>
        <v>#N/A</v>
      </c>
      <c r="K6" s="1290"/>
      <c r="L6" s="1291" t="s">
        <v>413</v>
      </c>
      <c r="P6" s="2472"/>
      <c r="Q6" s="2472">
        <v>1</v>
      </c>
      <c r="R6" s="294"/>
      <c r="S6" s="1384" t="e">
        <f>$J6</f>
        <v>#N/A</v>
      </c>
      <c r="T6" s="224" t="s">
        <v>414</v>
      </c>
      <c r="U6" s="238"/>
      <c r="V6" s="2456"/>
      <c r="W6" s="2457"/>
      <c r="X6" s="2457"/>
      <c r="Y6" s="2457"/>
      <c r="Z6" s="2457"/>
      <c r="AA6" s="2457"/>
      <c r="AB6" s="2458"/>
      <c r="AC6" s="2456"/>
      <c r="AD6" s="2457"/>
      <c r="AE6" s="2457"/>
      <c r="AF6" s="2457"/>
      <c r="AG6" s="2457"/>
      <c r="AH6" s="2457"/>
      <c r="AI6" s="2457"/>
      <c r="AJ6" s="2458"/>
      <c r="AK6" s="1234" t="s">
        <v>494</v>
      </c>
      <c r="AM6" s="437"/>
      <c r="AN6" s="437" t="str">
        <f t="shared" si="0"/>
        <v>Группа потребителей</v>
      </c>
      <c r="AO6" s="437"/>
      <c r="AP6" s="437"/>
      <c r="AQ6" s="1082">
        <v>0</v>
      </c>
    </row>
    <row r="7" spans="1:43" ht="23.25" hidden="1" customHeight="1">
      <c r="A7" s="1290"/>
      <c r="B7" s="1290"/>
      <c r="C7" s="1290"/>
      <c r="D7" s="1290"/>
      <c r="E7" s="2469"/>
      <c r="F7" s="2469"/>
      <c r="G7" s="2469"/>
      <c r="H7" s="2469"/>
      <c r="I7" s="2471"/>
      <c r="J7" s="2471"/>
      <c r="K7" s="2470" t="e">
        <f>J6&amp;".1"</f>
        <v>#N/A</v>
      </c>
      <c r="L7" s="1291"/>
      <c r="P7" s="2472"/>
      <c r="Q7" s="2472"/>
      <c r="R7" s="294">
        <v>1</v>
      </c>
      <c r="S7" s="1384" t="e">
        <f>$K7</f>
        <v>#N/A</v>
      </c>
      <c r="T7" s="1364"/>
      <c r="U7" s="238"/>
      <c r="V7" s="688"/>
      <c r="W7" s="688"/>
      <c r="X7" s="1184"/>
      <c r="Y7" s="2473"/>
      <c r="Z7" s="2342" t="s">
        <v>67</v>
      </c>
      <c r="AA7" s="2473"/>
      <c r="AB7" s="2342" t="s">
        <v>67</v>
      </c>
      <c r="AC7" s="688"/>
      <c r="AD7" s="688"/>
      <c r="AE7" s="1184"/>
      <c r="AF7" s="2473"/>
      <c r="AG7" s="2342" t="s">
        <v>67</v>
      </c>
      <c r="AH7" s="2475"/>
      <c r="AI7" s="2342" t="s">
        <v>67</v>
      </c>
      <c r="AJ7" s="1365"/>
      <c r="AK7" s="25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469"/>
      <c r="F8" s="2469"/>
      <c r="G8" s="2469"/>
      <c r="H8" s="2469"/>
      <c r="I8" s="2471"/>
      <c r="J8" s="2471"/>
      <c r="K8" s="2470"/>
      <c r="L8" s="1291"/>
      <c r="P8" s="2472"/>
      <c r="Q8" s="2472"/>
      <c r="R8" s="294"/>
      <c r="S8" s="1383"/>
      <c r="T8" s="238"/>
      <c r="U8" s="238"/>
      <c r="V8" s="263"/>
      <c r="W8" s="263"/>
      <c r="X8" s="266" t="str">
        <f>Y7&amp;"-"&amp;AA7</f>
        <v>-</v>
      </c>
      <c r="Y8" s="2474"/>
      <c r="Z8" s="2342"/>
      <c r="AA8" s="2474"/>
      <c r="AB8" s="2342"/>
      <c r="AC8" s="263"/>
      <c r="AD8" s="263"/>
      <c r="AE8" s="266" t="str">
        <f>AF7&amp;"-"&amp;AH7</f>
        <v>-</v>
      </c>
      <c r="AF8" s="2474"/>
      <c r="AG8" s="2342"/>
      <c r="AH8" s="2476"/>
      <c r="AI8" s="2342"/>
      <c r="AJ8" s="1366"/>
      <c r="AK8" s="2555"/>
      <c r="AM8" s="437"/>
      <c r="AN8" s="437" t="str">
        <f t="shared" si="0"/>
        <v/>
      </c>
      <c r="AO8" s="437"/>
      <c r="AP8" s="437"/>
      <c r="AQ8" s="1082">
        <v>0</v>
      </c>
    </row>
    <row r="9" spans="1:43" ht="21" hidden="1" customHeight="1">
      <c r="A9" s="1290"/>
      <c r="B9" s="1290"/>
      <c r="C9" s="1290"/>
      <c r="D9" s="1290"/>
      <c r="E9" s="2469"/>
      <c r="F9" s="2469"/>
      <c r="G9" s="2469"/>
      <c r="H9" s="2469"/>
      <c r="I9" s="2471"/>
      <c r="J9" s="2470"/>
      <c r="K9" s="1290"/>
      <c r="L9" s="1291"/>
      <c r="P9" s="2472"/>
      <c r="Q9" s="2472"/>
      <c r="R9" s="293"/>
      <c r="S9" s="1205"/>
      <c r="T9" s="225" t="s">
        <v>495</v>
      </c>
      <c r="U9" s="304"/>
      <c r="V9" s="304"/>
      <c r="W9" s="304"/>
      <c r="X9" s="304"/>
      <c r="Y9" s="304"/>
      <c r="Z9" s="304"/>
      <c r="AA9" s="304"/>
      <c r="AB9" s="304"/>
      <c r="AC9" s="304"/>
      <c r="AD9" s="304"/>
      <c r="AE9" s="304"/>
      <c r="AF9" s="304"/>
      <c r="AG9" s="304"/>
      <c r="AH9" s="304"/>
      <c r="AI9" s="304"/>
      <c r="AJ9" s="304"/>
      <c r="AK9" s="1185" t="s">
        <v>496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469"/>
      <c r="F10" s="2469"/>
      <c r="G10" s="2469"/>
      <c r="H10" s="2469"/>
      <c r="I10" s="2470"/>
      <c r="J10" s="1290"/>
      <c r="K10" s="1290"/>
      <c r="L10" s="1291"/>
      <c r="P10" s="2472"/>
      <c r="Q10" s="1377"/>
      <c r="R10" s="293"/>
      <c r="S10" s="1205"/>
      <c r="T10" s="302" t="s">
        <v>419</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469"/>
      <c r="F11" s="2469"/>
      <c r="G11" s="2469"/>
      <c r="H11" s="2468"/>
      <c r="I11" s="1290"/>
      <c r="J11" s="1290"/>
      <c r="K11" s="1290"/>
      <c r="L11" s="1291"/>
      <c r="M11" s="1292"/>
      <c r="N11" s="1292"/>
      <c r="O11" s="474"/>
      <c r="P11" s="297"/>
      <c r="Q11" s="312"/>
      <c r="R11" s="292"/>
      <c r="S11" s="1205"/>
      <c r="T11" s="309" t="s">
        <v>497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469"/>
      <c r="F12" s="2468"/>
      <c r="G12" s="1241"/>
      <c r="H12" s="1241"/>
      <c r="I12" s="1241"/>
      <c r="J12" s="1241"/>
      <c r="K12" s="1241"/>
      <c r="L12" s="1385"/>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468"/>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466"/>
      <c r="AG15" s="2465" t="s">
        <v>67</v>
      </c>
      <c r="AH15" s="2466"/>
      <c r="AI15" s="2465" t="s">
        <v>67</v>
      </c>
      <c r="AQ15" s="1082">
        <v>0</v>
      </c>
    </row>
    <row r="16" spans="1:43" ht="14.25" hidden="1" customHeight="1">
      <c r="AC16" s="1287"/>
      <c r="AD16" s="1287"/>
      <c r="AE16" s="266" t="str">
        <f>AF15&amp;"-"&amp;AH15</f>
        <v>-</v>
      </c>
      <c r="AF16" s="2465"/>
      <c r="AG16" s="2465"/>
      <c r="AH16" s="2465"/>
      <c r="AI16" s="2465"/>
      <c r="AQ16" s="1082">
        <v>0</v>
      </c>
    </row>
    <row r="17" spans="1:43" ht="14.25" hidden="1" customHeight="1">
      <c r="AI17" s="265"/>
      <c r="AQ17" s="1082">
        <v>0</v>
      </c>
    </row>
    <row r="18" spans="1:43" s="1293" customFormat="1" ht="22.5" hidden="1" customHeight="1">
      <c r="L18" s="1374"/>
      <c r="M18" s="1289"/>
      <c r="N18" s="1289"/>
      <c r="O18" s="1294" t="s">
        <v>421</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422</v>
      </c>
      <c r="P20" s="1289"/>
      <c r="Q20" s="1369"/>
      <c r="R20" s="1369"/>
      <c r="S20" s="666"/>
      <c r="T20" s="1087" t="s">
        <v>423</v>
      </c>
      <c r="Z20" s="124" t="s">
        <v>424</v>
      </c>
      <c r="AB20" s="124" t="s">
        <v>425</v>
      </c>
      <c r="AC20" s="1087" t="s">
        <v>423</v>
      </c>
      <c r="AG20" s="124" t="s">
        <v>426</v>
      </c>
      <c r="AI20" s="124" t="s">
        <v>425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4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49"/>
      <c r="U24" s="2449"/>
      <c r="V24" s="2449"/>
      <c r="W24" s="2449"/>
      <c r="X24" s="2449"/>
      <c r="Y24" s="2449"/>
      <c r="Z24" s="2449"/>
      <c r="AA24" s="2449"/>
      <c r="AB24" s="2449"/>
      <c r="AC24" s="2449"/>
      <c r="AD24" s="2449"/>
      <c r="AE24" s="2449"/>
      <c r="AF24" s="2449"/>
      <c r="AG24" s="2449"/>
      <c r="AH24" s="2449"/>
      <c r="AI24" s="1170"/>
      <c r="AQ24" s="1082">
        <v>14</v>
      </c>
    </row>
    <row r="25" spans="1:43" ht="14.65" customHeight="1">
      <c r="Q25" s="313"/>
      <c r="R25" s="313"/>
      <c r="S25" s="2421" t="str">
        <f>IF(org=0,"Не определено",org)</f>
        <v>МУП "Городские тепловые сети" МО  "город Курчатов"</v>
      </c>
      <c r="T25" s="2421"/>
      <c r="U25" s="2421"/>
      <c r="V25" s="2421"/>
      <c r="W25" s="2421"/>
      <c r="X25" s="2421"/>
      <c r="Y25" s="2421"/>
      <c r="Z25" s="2421"/>
      <c r="AA25" s="2421"/>
      <c r="AB25" s="2421"/>
      <c r="AC25" s="2421"/>
      <c r="AD25" s="2421"/>
      <c r="AE25" s="2421"/>
      <c r="AF25" s="2421"/>
      <c r="AG25" s="2421"/>
      <c r="AH25" s="2421"/>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459" t="s">
        <v>42</v>
      </c>
      <c r="T27" s="2459"/>
      <c r="U27" s="1299"/>
      <c r="V27" s="2461" t="str">
        <f>IF(TITLE_NAME_OR_PR_CHANGE="",IF(TITLE_NAME_OR_PR="","",TITLE_NAME_OR_PR),TITLE_NAME_OR_PR_CHANGE)</f>
        <v/>
      </c>
      <c r="W27" s="2461"/>
      <c r="X27" s="2461"/>
      <c r="Y27" s="2461"/>
      <c r="Z27" s="2461"/>
      <c r="AA27" s="2461"/>
      <c r="AB27" s="264"/>
      <c r="AC27" s="2461" t="str">
        <f>IF(TITLE_NAME_OR_PR_CHANGE="",IF(TITLE_NAME_OR_PR="","",TITLE_NAME_OR_PR),TITLE_NAME_OR_PR_CHANGE)</f>
        <v/>
      </c>
      <c r="AD27" s="2461"/>
      <c r="AE27" s="2461"/>
      <c r="AF27" s="2461"/>
      <c r="AG27" s="2461"/>
      <c r="AH27" s="2461"/>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459" t="s">
        <v>427</v>
      </c>
      <c r="T28" s="2459"/>
      <c r="U28" s="1299"/>
      <c r="V28" s="2460">
        <f>IF(TITLE_DATE_PR_CHANGE="",IF(TITLE_DATE_PR="","",TITLE_DATE_PR),TITLE_DATE_PR_CHANGE)</f>
        <v>45775</v>
      </c>
      <c r="W28" s="2460"/>
      <c r="X28" s="2460"/>
      <c r="Y28" s="2460"/>
      <c r="Z28" s="2460"/>
      <c r="AA28" s="2460"/>
      <c r="AB28" s="264"/>
      <c r="AC28" s="2460">
        <f>IF(TITLE_DATE_PR_CHANGE="",IF(TITLE_DATE_PR="","",TITLE_DATE_PR),TITLE_DATE_PR_CHANGE)</f>
        <v>45775</v>
      </c>
      <c r="AD28" s="2460"/>
      <c r="AE28" s="2460"/>
      <c r="AF28" s="2460"/>
      <c r="AG28" s="2460"/>
      <c r="AH28" s="2460"/>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459" t="s">
        <v>428</v>
      </c>
      <c r="T29" s="2459"/>
      <c r="U29" s="1299"/>
      <c r="V29" s="2461" t="str">
        <f>IF(TITLE_NUMBER_PR_CHANGE="",IF(TITLE_NUMBER_PR="","",TITLE_NUMBER_PR),TITLE_NUMBER_PR_CHANGE)</f>
        <v>03.5-1382</v>
      </c>
      <c r="W29" s="2461"/>
      <c r="X29" s="2461"/>
      <c r="Y29" s="2461"/>
      <c r="Z29" s="2461"/>
      <c r="AA29" s="2461"/>
      <c r="AB29" s="264"/>
      <c r="AC29" s="2461" t="str">
        <f>IF(TITLE_NUMBER_PR_CHANGE="",IF(TITLE_NUMBER_PR="","",TITLE_NUMBER_PR),TITLE_NUMBER_PR_CHANGE)</f>
        <v>03.5-1382</v>
      </c>
      <c r="AD29" s="2461"/>
      <c r="AE29" s="2461"/>
      <c r="AF29" s="2461"/>
      <c r="AG29" s="2461"/>
      <c r="AH29" s="2461"/>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459" t="s">
        <v>43</v>
      </c>
      <c r="T30" s="2459"/>
      <c r="U30" s="1299"/>
      <c r="V30" s="2461" t="str">
        <f>IF(TITLE_IST_PUB_CHANGE="",IF(TITLE_IST_PUB="","",TITLE_IST_PUB),TITLE_IST_PUB_CHANGE)</f>
        <v/>
      </c>
      <c r="W30" s="2461"/>
      <c r="X30" s="2461"/>
      <c r="Y30" s="2461"/>
      <c r="Z30" s="2461"/>
      <c r="AA30" s="2461"/>
      <c r="AB30" s="264"/>
      <c r="AC30" s="2461" t="str">
        <f>IF(TITLE_IST_PUB_CHANGE="",IF(TITLE_IST_PUB="","",TITLE_IST_PUB),TITLE_IST_PUB_CHANGE)</f>
        <v/>
      </c>
      <c r="AD30" s="2461"/>
      <c r="AE30" s="2461"/>
      <c r="AF30" s="2461"/>
      <c r="AG30" s="2461"/>
      <c r="AH30" s="2461"/>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459" t="s">
        <v>429</v>
      </c>
      <c r="T32" s="2459"/>
      <c r="U32" s="1299"/>
      <c r="V32" s="2460">
        <f>IF(TITLE_DATE_PR_CHANGE="",IF(TITLE_DATE_PR="","",TITLE_DATE_PR),TITLE_DATE_PR_CHANGE)</f>
        <v>45775</v>
      </c>
      <c r="W32" s="2460"/>
      <c r="X32" s="2460"/>
      <c r="Y32" s="2460"/>
      <c r="Z32" s="2460"/>
      <c r="AA32" s="2460"/>
      <c r="AB32" s="264"/>
      <c r="AC32" s="2460">
        <f>IF(TITLE_DATE_PR_CHANGE="",IF(TITLE_DATE_PR="","",TITLE_DATE_PR),TITLE_DATE_PR_CHANGE)</f>
        <v>45775</v>
      </c>
      <c r="AD32" s="2460"/>
      <c r="AE32" s="2460"/>
      <c r="AF32" s="2460"/>
      <c r="AG32" s="2460"/>
      <c r="AH32" s="2460"/>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459" t="s">
        <v>430</v>
      </c>
      <c r="T33" s="2459"/>
      <c r="U33" s="1299"/>
      <c r="V33" s="2461" t="str">
        <f>IF(TITLE_NUMBER_PR_CHANGE="",IF(TITLE_NUMBER_PR="","",TITLE_NUMBER_PR),TITLE_NUMBER_PR_CHANGE)</f>
        <v>03.5-1382</v>
      </c>
      <c r="W33" s="2461"/>
      <c r="X33" s="2461"/>
      <c r="Y33" s="2461"/>
      <c r="Z33" s="2461"/>
      <c r="AA33" s="2461"/>
      <c r="AB33" s="264"/>
      <c r="AC33" s="2461" t="str">
        <f>IF(TITLE_NUMBER_PR_CHANGE="",IF(TITLE_NUMBER_PR="","",TITLE_NUMBER_PR),TITLE_NUMBER_PR_CHANGE)</f>
        <v>03.5-1382</v>
      </c>
      <c r="AD33" s="2461"/>
      <c r="AE33" s="2461"/>
      <c r="AF33" s="2461"/>
      <c r="AG33" s="2461"/>
      <c r="AH33" s="2461"/>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431</v>
      </c>
      <c r="AC34" s="264"/>
      <c r="AD34" s="264"/>
      <c r="AE34" s="264"/>
      <c r="AF34" s="264"/>
      <c r="AG34" s="264"/>
      <c r="AH34" s="264"/>
      <c r="AI34" s="216" t="s">
        <v>431</v>
      </c>
      <c r="AL34" s="305"/>
      <c r="AM34" s="305"/>
      <c r="AN34" s="305"/>
      <c r="AO34" s="305"/>
      <c r="AP34" s="305"/>
      <c r="AQ34" s="355">
        <v>1</v>
      </c>
    </row>
    <row r="35" spans="1:43" ht="14.65" customHeight="1">
      <c r="Q35" s="313"/>
      <c r="R35" s="313"/>
      <c r="S35" s="1202"/>
      <c r="T35" s="300"/>
      <c r="U35" s="1171"/>
      <c r="V35" s="2480"/>
      <c r="W35" s="2480"/>
      <c r="X35" s="2480"/>
      <c r="Y35" s="2480"/>
      <c r="Z35" s="2480"/>
      <c r="AA35" s="2480"/>
      <c r="AB35" s="2480"/>
      <c r="AC35" s="2480"/>
      <c r="AD35" s="2480"/>
      <c r="AE35" s="2480"/>
      <c r="AF35" s="2480"/>
      <c r="AG35" s="2480"/>
      <c r="AH35" s="2480"/>
      <c r="AI35" s="2480"/>
      <c r="AQ35" s="1082">
        <v>14</v>
      </c>
    </row>
    <row r="36" spans="1:43" ht="14.65" customHeight="1">
      <c r="Q36" s="313"/>
      <c r="R36" s="313"/>
      <c r="S36" s="2332" t="s">
        <v>307</v>
      </c>
      <c r="T36" s="2332"/>
      <c r="U36" s="2332"/>
      <c r="V36" s="2332"/>
      <c r="W36" s="2332"/>
      <c r="X36" s="2332"/>
      <c r="Y36" s="2332"/>
      <c r="Z36" s="2332"/>
      <c r="AA36" s="2332"/>
      <c r="AB36" s="2332"/>
      <c r="AC36" s="2332"/>
      <c r="AD36" s="2332"/>
      <c r="AE36" s="2332"/>
      <c r="AF36" s="2332"/>
      <c r="AG36" s="2332"/>
      <c r="AH36" s="2332"/>
      <c r="AI36" s="2332"/>
      <c r="AJ36" s="2332"/>
      <c r="AK36" s="2332" t="s">
        <v>308</v>
      </c>
      <c r="AQ36" s="1082">
        <v>14</v>
      </c>
    </row>
    <row r="37" spans="1:43" ht="14.65" customHeight="1">
      <c r="Q37" s="313"/>
      <c r="R37" s="313"/>
      <c r="S37" s="2481" t="s">
        <v>89</v>
      </c>
      <c r="T37" s="2429" t="s">
        <v>432</v>
      </c>
      <c r="U37" s="239"/>
      <c r="V37" s="2482" t="s">
        <v>433</v>
      </c>
      <c r="W37" s="2483"/>
      <c r="X37" s="2483"/>
      <c r="Y37" s="2483"/>
      <c r="Z37" s="2483"/>
      <c r="AA37" s="2484"/>
      <c r="AB37" s="2485" t="s">
        <v>434</v>
      </c>
      <c r="AC37" s="2482" t="s">
        <v>433</v>
      </c>
      <c r="AD37" s="2483"/>
      <c r="AE37" s="2483"/>
      <c r="AF37" s="2483"/>
      <c r="AG37" s="2483"/>
      <c r="AH37" s="2484"/>
      <c r="AI37" s="2485" t="s">
        <v>435</v>
      </c>
      <c r="AJ37" s="2488" t="s">
        <v>436</v>
      </c>
      <c r="AK37" s="2332"/>
      <c r="AQ37" s="1082">
        <v>14</v>
      </c>
    </row>
    <row r="38" spans="1:43" ht="35.65" customHeight="1">
      <c r="Q38" s="313"/>
      <c r="R38" s="313"/>
      <c r="S38" s="2481"/>
      <c r="T38" s="2429"/>
      <c r="U38" s="961"/>
      <c r="V38" s="1379" t="s">
        <v>498</v>
      </c>
      <c r="W38" s="2314" t="s">
        <v>439</v>
      </c>
      <c r="X38" s="2313"/>
      <c r="Y38" s="2314" t="s">
        <v>440</v>
      </c>
      <c r="Z38" s="2319"/>
      <c r="AA38" s="2313"/>
      <c r="AB38" s="2486"/>
      <c r="AC38" s="1379" t="s">
        <v>498</v>
      </c>
      <c r="AD38" s="2314" t="s">
        <v>439</v>
      </c>
      <c r="AE38" s="2313"/>
      <c r="AF38" s="2314" t="s">
        <v>440</v>
      </c>
      <c r="AG38" s="2319"/>
      <c r="AH38" s="2313"/>
      <c r="AI38" s="2486"/>
      <c r="AJ38" s="2489"/>
      <c r="AK38" s="2332"/>
      <c r="AQ38" s="1082">
        <v>34</v>
      </c>
    </row>
    <row r="39" spans="1:43" ht="35.65" customHeight="1">
      <c r="A39" s="1297"/>
      <c r="B39" s="1297" t="s">
        <v>136</v>
      </c>
      <c r="C39" s="1297" t="s">
        <v>137</v>
      </c>
      <c r="D39" s="1297" t="s">
        <v>138</v>
      </c>
      <c r="E39" s="1291" t="s">
        <v>441</v>
      </c>
      <c r="F39" s="1291" t="s">
        <v>442</v>
      </c>
      <c r="G39" s="1291" t="s">
        <v>443</v>
      </c>
      <c r="H39" s="1291"/>
      <c r="I39" s="1291" t="s">
        <v>499</v>
      </c>
      <c r="J39" s="1291" t="s">
        <v>446</v>
      </c>
      <c r="K39" s="1291" t="s">
        <v>500</v>
      </c>
      <c r="L39" s="1291" t="s">
        <v>422</v>
      </c>
      <c r="Q39" s="313"/>
      <c r="R39" s="313"/>
      <c r="S39" s="2481"/>
      <c r="T39" s="2429"/>
      <c r="U39" s="240"/>
      <c r="V39" s="1379" t="s">
        <v>501</v>
      </c>
      <c r="W39" s="1149" t="s">
        <v>502</v>
      </c>
      <c r="X39" s="1149" t="s">
        <v>503</v>
      </c>
      <c r="Y39" s="1382" t="s">
        <v>450</v>
      </c>
      <c r="Z39" s="2434" t="s">
        <v>451</v>
      </c>
      <c r="AA39" s="2448"/>
      <c r="AB39" s="2487"/>
      <c r="AC39" s="1379" t="s">
        <v>501</v>
      </c>
      <c r="AD39" s="1149" t="s">
        <v>502</v>
      </c>
      <c r="AE39" s="1149" t="s">
        <v>503</v>
      </c>
      <c r="AF39" s="1382" t="s">
        <v>450</v>
      </c>
      <c r="AG39" s="2434" t="s">
        <v>451</v>
      </c>
      <c r="AH39" s="2448"/>
      <c r="AI39" s="2487"/>
      <c r="AJ39" s="2490"/>
      <c r="AK39" s="2332"/>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479">
        <f ca="1">OFFSET(Z40,0,-1)+1</f>
        <v>7</v>
      </c>
      <c r="AA40" s="2479"/>
      <c r="AB40" s="1378">
        <f ca="1">OFFSET(AB40,0,-2)+1</f>
        <v>8</v>
      </c>
      <c r="AC40" s="1378">
        <f ca="1">OFFSET(AC40,0,-1)+1</f>
        <v>9</v>
      </c>
      <c r="AD40" s="1378">
        <f ca="1">OFFSET(AD40,0,-1)+1</f>
        <v>10</v>
      </c>
      <c r="AE40" s="1378">
        <f ca="1">OFFSET(AE40,0,-1)+1</f>
        <v>11</v>
      </c>
      <c r="AF40" s="1378">
        <f ca="1">OFFSET(AF40,0,-1)+1</f>
        <v>12</v>
      </c>
      <c r="AG40" s="2479">
        <f ca="1">OFFSET(AG40,0,-1)+1</f>
        <v>13</v>
      </c>
      <c r="AH40" s="2479"/>
      <c r="AI40" s="1378">
        <f ca="1">OFFSET(AI40,0,-2)+1</f>
        <v>14</v>
      </c>
      <c r="AJ40" s="1172">
        <f ca="1">OFFSET(AJ40,0,-1)</f>
        <v>14</v>
      </c>
      <c r="AK40" s="1378">
        <f ca="1">OFFSET(AK40,0,-1)+1</f>
        <v>15</v>
      </c>
      <c r="AL40" s="448"/>
      <c r="AM40" s="448"/>
      <c r="AN40" s="448"/>
      <c r="AO40" s="448"/>
      <c r="AP40" s="448"/>
      <c r="AQ40" s="433">
        <v>0</v>
      </c>
    </row>
    <row r="41" spans="1:43" ht="24" customHeight="1">
      <c r="A41" s="1290" t="s">
        <v>243</v>
      </c>
      <c r="B41" s="1290"/>
      <c r="C41" s="1290"/>
      <c r="D41" s="1290"/>
      <c r="E41" s="2468">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462"/>
      <c r="W41" s="2463"/>
      <c r="X41" s="2463"/>
      <c r="Y41" s="2463"/>
      <c r="Z41" s="2463"/>
      <c r="AA41" s="2463"/>
      <c r="AB41" s="2464"/>
      <c r="AC41" s="2462" t="str">
        <f>INDEX(PT_DIFFERENTIATION_NTAR,MATCH(A41,PT_DIFFERENTIATION_NTAR_ID,0))</f>
        <v/>
      </c>
      <c r="AD41" s="2463"/>
      <c r="AE41" s="2463"/>
      <c r="AF41" s="2463"/>
      <c r="AG41" s="2463"/>
      <c r="AH41" s="2463"/>
      <c r="AI41" s="2463"/>
      <c r="AJ41" s="246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243</v>
      </c>
      <c r="B42" s="1290" t="s">
        <v>244</v>
      </c>
      <c r="C42" s="1290"/>
      <c r="D42" s="1290"/>
      <c r="E42" s="2469"/>
      <c r="F42" s="2468">
        <v>1</v>
      </c>
      <c r="G42" s="1290"/>
      <c r="H42" s="1290"/>
      <c r="I42" s="1290"/>
      <c r="J42" s="1290"/>
      <c r="K42" s="1290"/>
      <c r="L42" s="1291"/>
      <c r="M42" s="1292"/>
      <c r="N42" s="1292"/>
      <c r="O42" s="1292"/>
      <c r="P42" s="1380"/>
      <c r="Q42" s="289"/>
      <c r="R42" s="290"/>
      <c r="S42" s="1384" t="str">
        <f>INDEX(PT_DIFFERENTIATION_NUM_TER,MATCH(B42,PT_DIFFERENTIATION_TER_ID,0))</f>
        <v>.</v>
      </c>
      <c r="T42" s="246" t="s">
        <v>404</v>
      </c>
      <c r="U42" s="238"/>
      <c r="V42" s="2462"/>
      <c r="W42" s="2463"/>
      <c r="X42" s="2463"/>
      <c r="Y42" s="2463"/>
      <c r="Z42" s="2463"/>
      <c r="AA42" s="2463"/>
      <c r="AB42" s="2464"/>
      <c r="AC42" s="2462" t="str">
        <f>INDEX(PT_DIFFERENTIATION_TER,MATCH(B42,PT_DIFFERENTIATION_TER_ID,0))</f>
        <v/>
      </c>
      <c r="AD42" s="2463"/>
      <c r="AE42" s="2463"/>
      <c r="AF42" s="2463"/>
      <c r="AG42" s="2463"/>
      <c r="AH42" s="2463"/>
      <c r="AI42" s="2463"/>
      <c r="AJ42" s="2464"/>
      <c r="AK42" s="1185" t="s">
        <v>405</v>
      </c>
      <c r="AM42" s="437"/>
      <c r="AN42" s="437" t="str">
        <f t="shared" si="1"/>
        <v>Территория действия тарифа</v>
      </c>
      <c r="AO42" s="437"/>
      <c r="AP42" s="437"/>
      <c r="AQ42" s="1082">
        <v>23</v>
      </c>
    </row>
    <row r="43" spans="1:43" ht="24" customHeight="1">
      <c r="A43" s="1290" t="s">
        <v>243</v>
      </c>
      <c r="B43" s="1290" t="s">
        <v>244</v>
      </c>
      <c r="C43" s="1290" t="s">
        <v>245</v>
      </c>
      <c r="D43" s="1290"/>
      <c r="E43" s="2469"/>
      <c r="F43" s="2469"/>
      <c r="G43" s="2468">
        <v>1</v>
      </c>
      <c r="H43" s="1290"/>
      <c r="I43" s="1290"/>
      <c r="J43" s="1290"/>
      <c r="K43" s="1290"/>
      <c r="L43" s="1291"/>
      <c r="M43" s="1292"/>
      <c r="N43" s="1292"/>
      <c r="O43" s="1292"/>
      <c r="P43" s="291"/>
      <c r="Q43" s="289"/>
      <c r="R43" s="290"/>
      <c r="S43" s="1384" t="str">
        <f>INDEX(PT_DIFFERENTIATION_NUM_CS,MATCH(C43,PT_DIFFERENTIATION_CS_ID,0))</f>
        <v>..</v>
      </c>
      <c r="T43" s="247" t="s">
        <v>490</v>
      </c>
      <c r="U43" s="238"/>
      <c r="V43" s="2462"/>
      <c r="W43" s="2463"/>
      <c r="X43" s="2463"/>
      <c r="Y43" s="2463"/>
      <c r="Z43" s="2463"/>
      <c r="AA43" s="2463"/>
      <c r="AB43" s="2464"/>
      <c r="AC43" s="2462" t="str">
        <f>INDEX(PT_DIFFERENTIATION_CS,MATCH(C43,PT_DIFFERENTIATION_CS_ID,0))</f>
        <v/>
      </c>
      <c r="AD43" s="2463"/>
      <c r="AE43" s="2463"/>
      <c r="AF43" s="2463"/>
      <c r="AG43" s="2463"/>
      <c r="AH43" s="2463"/>
      <c r="AI43" s="2463"/>
      <c r="AJ43" s="2464"/>
      <c r="AK43" s="1185" t="s">
        <v>491</v>
      </c>
      <c r="AM43" s="437"/>
      <c r="AN43" s="437" t="str">
        <f t="shared" si="1"/>
        <v>Наименование централизованной системы холодного водоснабжения</v>
      </c>
      <c r="AO43" s="437"/>
      <c r="AP43" s="437"/>
      <c r="AQ43" s="1082">
        <v>23</v>
      </c>
    </row>
    <row r="44" spans="1:43" ht="24" customHeight="1">
      <c r="A44" s="1290" t="s">
        <v>243</v>
      </c>
      <c r="B44" s="1290" t="s">
        <v>244</v>
      </c>
      <c r="C44" s="1290" t="s">
        <v>245</v>
      </c>
      <c r="D44" s="1290" t="s">
        <v>506</v>
      </c>
      <c r="E44" s="2469"/>
      <c r="F44" s="2469"/>
      <c r="G44" s="2469"/>
      <c r="H44" s="2469"/>
      <c r="I44" s="2470" t="str">
        <f>S43&amp;".1"</f>
        <v>...1</v>
      </c>
      <c r="J44" s="1290"/>
      <c r="K44" s="1290"/>
      <c r="L44" s="1291"/>
      <c r="P44" s="2472">
        <v>1</v>
      </c>
      <c r="Q44" s="1377"/>
      <c r="R44" s="293"/>
      <c r="S44" s="1384" t="str">
        <f>$I44</f>
        <v>...1</v>
      </c>
      <c r="T44" s="223" t="s">
        <v>492</v>
      </c>
      <c r="U44" s="238"/>
      <c r="V44" s="2549"/>
      <c r="W44" s="2550"/>
      <c r="X44" s="2550"/>
      <c r="Y44" s="2550"/>
      <c r="Z44" s="2550"/>
      <c r="AA44" s="2550"/>
      <c r="AB44" s="2551"/>
      <c r="AC44" s="2552"/>
      <c r="AD44" s="2553"/>
      <c r="AE44" s="2553"/>
      <c r="AF44" s="2553"/>
      <c r="AG44" s="2553"/>
      <c r="AH44" s="2553"/>
      <c r="AI44" s="2553"/>
      <c r="AJ44" s="2554"/>
      <c r="AK44" s="1185" t="s">
        <v>493</v>
      </c>
      <c r="AM44" s="437"/>
      <c r="AN44" s="437" t="str">
        <f t="shared" si="1"/>
        <v>Наименование признака дифференциации</v>
      </c>
      <c r="AO44" s="437"/>
      <c r="AP44" s="437"/>
      <c r="AQ44" s="1082">
        <v>23</v>
      </c>
    </row>
    <row r="45" spans="1:43" ht="24" customHeight="1">
      <c r="A45" s="1290" t="s">
        <v>243</v>
      </c>
      <c r="B45" s="1290" t="s">
        <v>244</v>
      </c>
      <c r="C45" s="1290" t="s">
        <v>245</v>
      </c>
      <c r="D45" s="1290" t="s">
        <v>506</v>
      </c>
      <c r="E45" s="2469"/>
      <c r="F45" s="2469"/>
      <c r="G45" s="2469"/>
      <c r="H45" s="2469"/>
      <c r="I45" s="2471"/>
      <c r="J45" s="2470" t="str">
        <f>I44&amp;".1"</f>
        <v>...1.1</v>
      </c>
      <c r="K45" s="1290"/>
      <c r="L45" s="1291" t="s">
        <v>413</v>
      </c>
      <c r="P45" s="2472"/>
      <c r="Q45" s="2472">
        <v>1</v>
      </c>
      <c r="R45" s="294"/>
      <c r="S45" s="1384" t="str">
        <f>$J45</f>
        <v>...1.1</v>
      </c>
      <c r="T45" s="224" t="s">
        <v>414</v>
      </c>
      <c r="U45" s="238"/>
      <c r="V45" s="2456"/>
      <c r="W45" s="2457"/>
      <c r="X45" s="2457"/>
      <c r="Y45" s="2457"/>
      <c r="Z45" s="2457"/>
      <c r="AA45" s="2457"/>
      <c r="AB45" s="2458"/>
      <c r="AC45" s="2456"/>
      <c r="AD45" s="2457"/>
      <c r="AE45" s="2457"/>
      <c r="AF45" s="2457"/>
      <c r="AG45" s="2457"/>
      <c r="AH45" s="2457"/>
      <c r="AI45" s="2457"/>
      <c r="AJ45" s="2458"/>
      <c r="AK45" s="1234" t="s">
        <v>494</v>
      </c>
      <c r="AM45" s="437"/>
      <c r="AN45" s="437" t="str">
        <f t="shared" si="1"/>
        <v>Группа потребителей</v>
      </c>
      <c r="AO45" s="437"/>
      <c r="AP45" s="437"/>
      <c r="AQ45" s="1082">
        <v>23</v>
      </c>
    </row>
    <row r="46" spans="1:43" ht="24" customHeight="1">
      <c r="A46" s="1290" t="s">
        <v>243</v>
      </c>
      <c r="B46" s="1290" t="s">
        <v>244</v>
      </c>
      <c r="C46" s="1290" t="s">
        <v>245</v>
      </c>
      <c r="D46" s="1290" t="s">
        <v>506</v>
      </c>
      <c r="E46" s="2469"/>
      <c r="F46" s="2469"/>
      <c r="G46" s="2469"/>
      <c r="H46" s="2469"/>
      <c r="I46" s="2471"/>
      <c r="J46" s="2471"/>
      <c r="K46" s="2470" t="str">
        <f>J45&amp;".1"</f>
        <v>...1.1.1</v>
      </c>
      <c r="L46" s="1291"/>
      <c r="P46" s="2472"/>
      <c r="Q46" s="2472"/>
      <c r="R46" s="294">
        <v>1</v>
      </c>
      <c r="S46" s="1384" t="str">
        <f>$K46</f>
        <v>...1.1.1</v>
      </c>
      <c r="T46" s="1364"/>
      <c r="U46" s="238"/>
      <c r="V46" s="688"/>
      <c r="W46" s="688"/>
      <c r="X46" s="1184"/>
      <c r="Y46" s="2473"/>
      <c r="Z46" s="2342" t="s">
        <v>67</v>
      </c>
      <c r="AA46" s="2473"/>
      <c r="AB46" s="2342" t="s">
        <v>67</v>
      </c>
      <c r="AC46" s="688"/>
      <c r="AD46" s="688"/>
      <c r="AE46" s="1184"/>
      <c r="AF46" s="2473"/>
      <c r="AG46" s="2342" t="s">
        <v>67</v>
      </c>
      <c r="AH46" s="2475"/>
      <c r="AI46" s="2342" t="s">
        <v>67</v>
      </c>
      <c r="AJ46" s="1365"/>
      <c r="AK46" s="25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243</v>
      </c>
      <c r="B47" s="1290" t="s">
        <v>244</v>
      </c>
      <c r="C47" s="1290" t="s">
        <v>245</v>
      </c>
      <c r="D47" s="1290" t="s">
        <v>506</v>
      </c>
      <c r="E47" s="2469"/>
      <c r="F47" s="2469"/>
      <c r="G47" s="2469"/>
      <c r="H47" s="2469"/>
      <c r="I47" s="2471"/>
      <c r="J47" s="2471"/>
      <c r="K47" s="2470"/>
      <c r="L47" s="1291"/>
      <c r="P47" s="2472"/>
      <c r="Q47" s="2472"/>
      <c r="R47" s="294"/>
      <c r="S47" s="1383"/>
      <c r="T47" s="238"/>
      <c r="U47" s="238"/>
      <c r="V47" s="263"/>
      <c r="W47" s="263"/>
      <c r="X47" s="266" t="str">
        <f>Y46&amp;"-"&amp;AA46</f>
        <v>-</v>
      </c>
      <c r="Y47" s="2474"/>
      <c r="Z47" s="2342"/>
      <c r="AA47" s="2474"/>
      <c r="AB47" s="2342"/>
      <c r="AC47" s="263"/>
      <c r="AD47" s="263"/>
      <c r="AE47" s="266" t="str">
        <f>AF46&amp;"-"&amp;AH46</f>
        <v>-</v>
      </c>
      <c r="AF47" s="2474"/>
      <c r="AG47" s="2342"/>
      <c r="AH47" s="2476"/>
      <c r="AI47" s="2342"/>
      <c r="AJ47" s="1366"/>
      <c r="AK47" s="2555"/>
      <c r="AM47" s="437"/>
      <c r="AN47" s="437" t="str">
        <f t="shared" si="1"/>
        <v/>
      </c>
      <c r="AO47" s="437"/>
      <c r="AP47" s="437"/>
      <c r="AQ47" s="1082">
        <v>0</v>
      </c>
    </row>
    <row r="48" spans="1:43" ht="21" customHeight="1">
      <c r="A48" s="1290" t="s">
        <v>243</v>
      </c>
      <c r="B48" s="1290" t="s">
        <v>244</v>
      </c>
      <c r="C48" s="1290" t="s">
        <v>245</v>
      </c>
      <c r="D48" s="1290" t="s">
        <v>506</v>
      </c>
      <c r="E48" s="2469"/>
      <c r="F48" s="2469"/>
      <c r="G48" s="2469"/>
      <c r="H48" s="2469"/>
      <c r="I48" s="2471"/>
      <c r="J48" s="2470"/>
      <c r="K48" s="1290"/>
      <c r="L48" s="1291"/>
      <c r="P48" s="2472"/>
      <c r="Q48" s="2472"/>
      <c r="R48" s="293"/>
      <c r="S48" s="1205"/>
      <c r="T48" s="225" t="s">
        <v>495</v>
      </c>
      <c r="U48" s="304"/>
      <c r="V48" s="304"/>
      <c r="W48" s="304"/>
      <c r="X48" s="304"/>
      <c r="Y48" s="304"/>
      <c r="Z48" s="304"/>
      <c r="AA48" s="304"/>
      <c r="AB48" s="304"/>
      <c r="AC48" s="304"/>
      <c r="AD48" s="304"/>
      <c r="AE48" s="304"/>
      <c r="AF48" s="304"/>
      <c r="AG48" s="304"/>
      <c r="AH48" s="304"/>
      <c r="AI48" s="304"/>
      <c r="AJ48" s="304"/>
      <c r="AK48" s="1185" t="s">
        <v>496</v>
      </c>
      <c r="AM48" s="437"/>
      <c r="AN48" s="437" t="str">
        <f t="shared" si="1"/>
        <v>Добавить значение признака дифференциации</v>
      </c>
      <c r="AO48" s="437"/>
      <c r="AP48" s="437"/>
      <c r="AQ48" s="1082">
        <v>20</v>
      </c>
    </row>
    <row r="49" spans="1:43" ht="21.95" customHeight="1">
      <c r="A49" s="1290" t="s">
        <v>243</v>
      </c>
      <c r="B49" s="1290" t="s">
        <v>244</v>
      </c>
      <c r="C49" s="1290" t="s">
        <v>245</v>
      </c>
      <c r="D49" s="1290" t="s">
        <v>506</v>
      </c>
      <c r="E49" s="2469"/>
      <c r="F49" s="2469"/>
      <c r="G49" s="2469"/>
      <c r="H49" s="2469"/>
      <c r="I49" s="2470"/>
      <c r="J49" s="1290"/>
      <c r="K49" s="1290"/>
      <c r="L49" s="1291"/>
      <c r="P49" s="2472"/>
      <c r="Q49" s="1377"/>
      <c r="R49" s="293"/>
      <c r="S49" s="1205"/>
      <c r="T49" s="302" t="s">
        <v>419</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243</v>
      </c>
      <c r="B50" s="1290" t="s">
        <v>244</v>
      </c>
      <c r="C50" s="1290" t="s">
        <v>245</v>
      </c>
      <c r="D50" s="1290" t="s">
        <v>506</v>
      </c>
      <c r="E50" s="2469"/>
      <c r="F50" s="2469"/>
      <c r="G50" s="2469"/>
      <c r="H50" s="2468"/>
      <c r="I50" s="1290"/>
      <c r="J50" s="1290"/>
      <c r="K50" s="1290"/>
      <c r="L50" s="1291"/>
      <c r="M50" s="1292"/>
      <c r="N50" s="1292"/>
      <c r="O50" s="474"/>
      <c r="P50" s="297"/>
      <c r="Q50" s="312"/>
      <c r="R50" s="292"/>
      <c r="S50" s="1205"/>
      <c r="T50" s="309" t="s">
        <v>497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243</v>
      </c>
      <c r="B51" s="1270" t="s">
        <v>244</v>
      </c>
      <c r="C51" s="1241"/>
      <c r="D51" s="1241"/>
      <c r="E51" s="2469"/>
      <c r="F51" s="2468"/>
      <c r="G51" s="1241"/>
      <c r="H51" s="1241"/>
      <c r="I51" s="1241"/>
      <c r="J51" s="1241"/>
      <c r="K51" s="1241"/>
      <c r="L51" s="1385"/>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243</v>
      </c>
      <c r="B52" s="1270"/>
      <c r="C52" s="1270"/>
      <c r="D52" s="1270"/>
      <c r="E52" s="2468"/>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467"/>
      <c r="U55" s="2467"/>
      <c r="V55" s="2467"/>
      <c r="W55" s="2467"/>
      <c r="X55" s="2467"/>
      <c r="Y55" s="2467"/>
      <c r="Z55" s="2467"/>
      <c r="AA55" s="2467"/>
      <c r="AB55" s="2467"/>
      <c r="AC55" s="2467"/>
      <c r="AD55" s="2467"/>
      <c r="AE55" s="2467"/>
      <c r="AF55" s="2467"/>
      <c r="AG55" s="2467"/>
      <c r="AH55" s="2467"/>
      <c r="AI55" s="2467"/>
      <c r="AJ55" s="2467"/>
      <c r="AK55" s="2467"/>
      <c r="AQ55" s="1082">
        <v>14</v>
      </c>
    </row>
    <row r="56" spans="1:43" ht="14.65" customHeight="1">
      <c r="O56" s="474"/>
      <c r="AQ56" s="1082">
        <v>14</v>
      </c>
    </row>
    <row r="57" spans="1:43" ht="14.65" customHeight="1">
      <c r="O57" s="474"/>
      <c r="S57" s="1180"/>
      <c r="T57" s="2467"/>
      <c r="U57" s="2467"/>
      <c r="V57" s="2467"/>
      <c r="W57" s="2467"/>
      <c r="X57" s="2467"/>
      <c r="Y57" s="2467"/>
      <c r="Z57" s="2467"/>
      <c r="AA57" s="2467"/>
      <c r="AB57" s="2467"/>
      <c r="AC57" s="2467"/>
      <c r="AD57" s="2467"/>
      <c r="AE57" s="2467"/>
      <c r="AF57" s="2467"/>
      <c r="AG57" s="2467"/>
      <c r="AH57" s="2467"/>
      <c r="AI57" s="2467"/>
      <c r="AJ57" s="2467"/>
      <c r="AK57" s="2467"/>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25C6A-5BA1-D9CA-13CC-53FBDF84B33B}">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2" customWidth="1"/>
    <col min="19" max="19" width="12" style="2009"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468">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462"/>
      <c r="W2" s="2463"/>
      <c r="X2" s="2463"/>
      <c r="Y2" s="2463"/>
      <c r="Z2" s="2463"/>
      <c r="AA2" s="2463"/>
      <c r="AB2" s="2464"/>
      <c r="AC2" s="2462" t="e">
        <f>INDEX(PT_DIFFERENTIATION_NTAR,MATCH(A2,PT_DIFFERENTIATION_NTAR_ID,0))</f>
        <v>#N/A</v>
      </c>
      <c r="AD2" s="2463"/>
      <c r="AE2" s="2463"/>
      <c r="AF2" s="2463"/>
      <c r="AG2" s="2463"/>
      <c r="AH2" s="2463"/>
      <c r="AI2" s="2463"/>
      <c r="AJ2" s="246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469"/>
      <c r="F3" s="2468">
        <v>1</v>
      </c>
      <c r="G3" s="1290"/>
      <c r="H3" s="1290"/>
      <c r="I3" s="1290"/>
      <c r="J3" s="1290"/>
      <c r="K3" s="1290"/>
      <c r="L3" s="1291"/>
      <c r="M3" s="1292"/>
      <c r="N3" s="1292"/>
      <c r="O3" s="1292"/>
      <c r="P3" s="1380"/>
      <c r="Q3" s="289"/>
      <c r="R3" s="290"/>
      <c r="S3" s="1384" t="e">
        <f>INDEX(PT_DIFFERENTIATION_NUM_TER,MATCH(B3,PT_DIFFERENTIATION_TER_ID,0))</f>
        <v>#N/A</v>
      </c>
      <c r="T3" s="246" t="s">
        <v>404</v>
      </c>
      <c r="U3" s="238"/>
      <c r="V3" s="2462"/>
      <c r="W3" s="2463"/>
      <c r="X3" s="2463"/>
      <c r="Y3" s="2463"/>
      <c r="Z3" s="2463"/>
      <c r="AA3" s="2463"/>
      <c r="AB3" s="2464"/>
      <c r="AC3" s="2462" t="e">
        <f>INDEX(PT_DIFFERENTIATION_TER,MATCH(B3,PT_DIFFERENTIATION_TER_ID,0))</f>
        <v>#N/A</v>
      </c>
      <c r="AD3" s="2463"/>
      <c r="AE3" s="2463"/>
      <c r="AF3" s="2463"/>
      <c r="AG3" s="2463"/>
      <c r="AH3" s="2463"/>
      <c r="AI3" s="2463"/>
      <c r="AJ3" s="2464"/>
      <c r="AK3" s="1185" t="s">
        <v>405</v>
      </c>
      <c r="AM3" s="437"/>
      <c r="AN3" s="437" t="str">
        <f t="shared" si="0"/>
        <v>Территория действия тарифа</v>
      </c>
      <c r="AO3" s="437"/>
      <c r="AP3" s="437"/>
      <c r="AQ3" s="1082">
        <v>0</v>
      </c>
    </row>
    <row r="4" spans="1:43" ht="23.25" hidden="1" customHeight="1">
      <c r="A4" s="1290"/>
      <c r="B4" s="1290"/>
      <c r="C4" s="1290"/>
      <c r="D4" s="1290"/>
      <c r="E4" s="2469"/>
      <c r="F4" s="2469"/>
      <c r="G4" s="2468">
        <v>1</v>
      </c>
      <c r="H4" s="1290"/>
      <c r="I4" s="1290"/>
      <c r="J4" s="1290"/>
      <c r="K4" s="1290"/>
      <c r="L4" s="1291"/>
      <c r="M4" s="1292"/>
      <c r="N4" s="1292"/>
      <c r="O4" s="1292"/>
      <c r="P4" s="291"/>
      <c r="Q4" s="289"/>
      <c r="R4" s="290"/>
      <c r="S4" s="1384" t="e">
        <f>INDEX(PT_DIFFERENTIATION_NUM_CS,MATCH(C4,PT_DIFFERENTIATION_CS_ID,0))</f>
        <v>#N/A</v>
      </c>
      <c r="T4" s="247" t="s">
        <v>490</v>
      </c>
      <c r="U4" s="238"/>
      <c r="V4" s="2462"/>
      <c r="W4" s="2463"/>
      <c r="X4" s="2463"/>
      <c r="Y4" s="2463"/>
      <c r="Z4" s="2463"/>
      <c r="AA4" s="2463"/>
      <c r="AB4" s="2464"/>
      <c r="AC4" s="2462" t="e">
        <f>INDEX(PT_DIFFERENTIATION_CS,MATCH(C4,PT_DIFFERENTIATION_CS_ID,0))</f>
        <v>#N/A</v>
      </c>
      <c r="AD4" s="2463"/>
      <c r="AE4" s="2463"/>
      <c r="AF4" s="2463"/>
      <c r="AG4" s="2463"/>
      <c r="AH4" s="2463"/>
      <c r="AI4" s="2463"/>
      <c r="AJ4" s="2464"/>
      <c r="AK4" s="1185" t="s">
        <v>491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469"/>
      <c r="F5" s="2469"/>
      <c r="G5" s="2469"/>
      <c r="H5" s="2469"/>
      <c r="I5" s="2470" t="e">
        <f>S4&amp;".1"</f>
        <v>#N/A</v>
      </c>
      <c r="J5" s="1290"/>
      <c r="K5" s="1290"/>
      <c r="L5" s="1291"/>
      <c r="P5" s="2472">
        <v>1</v>
      </c>
      <c r="Q5" s="1377"/>
      <c r="R5" s="293"/>
      <c r="S5" s="1384" t="e">
        <f>$I5</f>
        <v>#N/A</v>
      </c>
      <c r="T5" s="223" t="s">
        <v>492</v>
      </c>
      <c r="U5" s="238"/>
      <c r="V5" s="2549"/>
      <c r="W5" s="2550"/>
      <c r="X5" s="2550"/>
      <c r="Y5" s="2550"/>
      <c r="Z5" s="2550"/>
      <c r="AA5" s="2550"/>
      <c r="AB5" s="2551"/>
      <c r="AC5" s="2552"/>
      <c r="AD5" s="2553"/>
      <c r="AE5" s="2553"/>
      <c r="AF5" s="2553"/>
      <c r="AG5" s="2553"/>
      <c r="AH5" s="2553"/>
      <c r="AI5" s="2553"/>
      <c r="AJ5" s="2554"/>
      <c r="AK5" s="1185" t="s">
        <v>493</v>
      </c>
      <c r="AM5" s="437"/>
      <c r="AN5" s="437" t="str">
        <f t="shared" si="0"/>
        <v>Наименование признака дифференциации</v>
      </c>
      <c r="AO5" s="437"/>
      <c r="AP5" s="437"/>
      <c r="AQ5" s="1082">
        <v>0</v>
      </c>
    </row>
    <row r="6" spans="1:43" ht="23.25" hidden="1" customHeight="1">
      <c r="A6" s="1290"/>
      <c r="B6" s="1290"/>
      <c r="C6" s="1290"/>
      <c r="D6" s="1290"/>
      <c r="E6" s="2469"/>
      <c r="F6" s="2469"/>
      <c r="G6" s="2469"/>
      <c r="H6" s="2469"/>
      <c r="I6" s="2471"/>
      <c r="J6" s="2470" t="e">
        <f>I5&amp;".1"</f>
        <v>#N/A</v>
      </c>
      <c r="K6" s="1290"/>
      <c r="L6" s="1291" t="s">
        <v>413</v>
      </c>
      <c r="P6" s="2472"/>
      <c r="Q6" s="2472">
        <v>1</v>
      </c>
      <c r="R6" s="294"/>
      <c r="S6" s="1384" t="e">
        <f>$J6</f>
        <v>#N/A</v>
      </c>
      <c r="T6" s="224" t="s">
        <v>414</v>
      </c>
      <c r="U6" s="238"/>
      <c r="V6" s="2456"/>
      <c r="W6" s="2457"/>
      <c r="X6" s="2457"/>
      <c r="Y6" s="2457"/>
      <c r="Z6" s="2457"/>
      <c r="AA6" s="2457"/>
      <c r="AB6" s="2458"/>
      <c r="AC6" s="2456"/>
      <c r="AD6" s="2457"/>
      <c r="AE6" s="2457"/>
      <c r="AF6" s="2457"/>
      <c r="AG6" s="2457"/>
      <c r="AH6" s="2457"/>
      <c r="AI6" s="2457"/>
      <c r="AJ6" s="2458"/>
      <c r="AK6" s="1234" t="s">
        <v>494</v>
      </c>
      <c r="AM6" s="437"/>
      <c r="AN6" s="437" t="str">
        <f t="shared" si="0"/>
        <v>Группа потребителей</v>
      </c>
      <c r="AO6" s="437"/>
      <c r="AP6" s="437"/>
      <c r="AQ6" s="1082">
        <v>0</v>
      </c>
    </row>
    <row r="7" spans="1:43" ht="23.25" hidden="1" customHeight="1">
      <c r="A7" s="1290"/>
      <c r="B7" s="1290"/>
      <c r="C7" s="1290"/>
      <c r="D7" s="1290"/>
      <c r="E7" s="2469"/>
      <c r="F7" s="2469"/>
      <c r="G7" s="2469"/>
      <c r="H7" s="2469"/>
      <c r="I7" s="2471"/>
      <c r="J7" s="2471"/>
      <c r="K7" s="2470" t="e">
        <f>J6&amp;".1"</f>
        <v>#N/A</v>
      </c>
      <c r="L7" s="1291"/>
      <c r="P7" s="2472"/>
      <c r="Q7" s="2472"/>
      <c r="R7" s="294">
        <v>1</v>
      </c>
      <c r="S7" s="1384" t="e">
        <f>$K7</f>
        <v>#N/A</v>
      </c>
      <c r="T7" s="1364"/>
      <c r="U7" s="238"/>
      <c r="V7" s="688"/>
      <c r="W7" s="688"/>
      <c r="X7" s="1184"/>
      <c r="Y7" s="2473"/>
      <c r="Z7" s="2342" t="s">
        <v>67</v>
      </c>
      <c r="AA7" s="2473"/>
      <c r="AB7" s="2342" t="s">
        <v>67</v>
      </c>
      <c r="AC7" s="688"/>
      <c r="AD7" s="688"/>
      <c r="AE7" s="1184"/>
      <c r="AF7" s="2473"/>
      <c r="AG7" s="2342" t="s">
        <v>67</v>
      </c>
      <c r="AH7" s="2475"/>
      <c r="AI7" s="2342" t="s">
        <v>67</v>
      </c>
      <c r="AJ7" s="1365"/>
      <c r="AK7" s="25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469"/>
      <c r="F8" s="2469"/>
      <c r="G8" s="2469"/>
      <c r="H8" s="2469"/>
      <c r="I8" s="2471"/>
      <c r="J8" s="2471"/>
      <c r="K8" s="2470"/>
      <c r="L8" s="1291"/>
      <c r="P8" s="2472"/>
      <c r="Q8" s="2472"/>
      <c r="R8" s="294"/>
      <c r="S8" s="1383"/>
      <c r="T8" s="238"/>
      <c r="U8" s="238"/>
      <c r="V8" s="263"/>
      <c r="W8" s="263"/>
      <c r="X8" s="266" t="str">
        <f>Y7&amp;"-"&amp;AA7</f>
        <v>-</v>
      </c>
      <c r="Y8" s="2474"/>
      <c r="Z8" s="2342"/>
      <c r="AA8" s="2474"/>
      <c r="AB8" s="2342"/>
      <c r="AC8" s="263"/>
      <c r="AD8" s="263"/>
      <c r="AE8" s="266" t="str">
        <f>AF7&amp;"-"&amp;AH7</f>
        <v>-</v>
      </c>
      <c r="AF8" s="2474"/>
      <c r="AG8" s="2342"/>
      <c r="AH8" s="2476"/>
      <c r="AI8" s="2342"/>
      <c r="AJ8" s="1366"/>
      <c r="AK8" s="2555"/>
      <c r="AM8" s="437"/>
      <c r="AN8" s="437" t="str">
        <f t="shared" si="0"/>
        <v/>
      </c>
      <c r="AO8" s="437"/>
      <c r="AP8" s="437"/>
      <c r="AQ8" s="1082">
        <v>0</v>
      </c>
    </row>
    <row r="9" spans="1:43" ht="21" hidden="1" customHeight="1">
      <c r="A9" s="1290"/>
      <c r="B9" s="1290"/>
      <c r="C9" s="1290"/>
      <c r="D9" s="1290"/>
      <c r="E9" s="2469"/>
      <c r="F9" s="2469"/>
      <c r="G9" s="2469"/>
      <c r="H9" s="2469"/>
      <c r="I9" s="2471"/>
      <c r="J9" s="2470"/>
      <c r="K9" s="1290"/>
      <c r="L9" s="1291"/>
      <c r="P9" s="2472"/>
      <c r="Q9" s="2472"/>
      <c r="R9" s="293"/>
      <c r="S9" s="1205"/>
      <c r="T9" s="225" t="s">
        <v>495</v>
      </c>
      <c r="U9" s="304"/>
      <c r="V9" s="304"/>
      <c r="W9" s="304"/>
      <c r="X9" s="304"/>
      <c r="Y9" s="304"/>
      <c r="Z9" s="304"/>
      <c r="AA9" s="304"/>
      <c r="AB9" s="304"/>
      <c r="AC9" s="304"/>
      <c r="AD9" s="304"/>
      <c r="AE9" s="304"/>
      <c r="AF9" s="304"/>
      <c r="AG9" s="304"/>
      <c r="AH9" s="304"/>
      <c r="AI9" s="304"/>
      <c r="AJ9" s="304"/>
      <c r="AK9" s="1185" t="s">
        <v>496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469"/>
      <c r="F10" s="2469"/>
      <c r="G10" s="2469"/>
      <c r="H10" s="2469"/>
      <c r="I10" s="2470"/>
      <c r="J10" s="1290"/>
      <c r="K10" s="1290"/>
      <c r="L10" s="1291"/>
      <c r="P10" s="2472"/>
      <c r="Q10" s="1377"/>
      <c r="R10" s="293"/>
      <c r="S10" s="1205"/>
      <c r="T10" s="302" t="s">
        <v>419</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469"/>
      <c r="F11" s="2469"/>
      <c r="G11" s="2469"/>
      <c r="H11" s="2468"/>
      <c r="I11" s="1290"/>
      <c r="J11" s="1290"/>
      <c r="K11" s="1290"/>
      <c r="L11" s="1291"/>
      <c r="M11" s="1292"/>
      <c r="N11" s="1292"/>
      <c r="O11" s="474"/>
      <c r="P11" s="297"/>
      <c r="Q11" s="312"/>
      <c r="R11" s="292"/>
      <c r="S11" s="1205"/>
      <c r="T11" s="309" t="s">
        <v>497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469"/>
      <c r="F12" s="2468"/>
      <c r="G12" s="1241"/>
      <c r="H12" s="1241"/>
      <c r="I12" s="1241"/>
      <c r="J12" s="1241"/>
      <c r="K12" s="1241"/>
      <c r="L12" s="1385"/>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468"/>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466"/>
      <c r="AG15" s="2465" t="s">
        <v>67</v>
      </c>
      <c r="AH15" s="2466"/>
      <c r="AI15" s="2465" t="s">
        <v>67</v>
      </c>
      <c r="AQ15" s="1082">
        <v>0</v>
      </c>
    </row>
    <row r="16" spans="1:43" ht="14.25" hidden="1" customHeight="1">
      <c r="AC16" s="1287"/>
      <c r="AD16" s="1287"/>
      <c r="AE16" s="266" t="str">
        <f>AF15&amp;"-"&amp;AH15</f>
        <v>-</v>
      </c>
      <c r="AF16" s="2465"/>
      <c r="AG16" s="2465"/>
      <c r="AH16" s="2465"/>
      <c r="AI16" s="2465"/>
      <c r="AQ16" s="1082">
        <v>0</v>
      </c>
    </row>
    <row r="17" spans="1:43" ht="14.25" hidden="1" customHeight="1">
      <c r="AI17" s="265"/>
      <c r="AQ17" s="1082">
        <v>0</v>
      </c>
    </row>
    <row r="18" spans="1:43" s="1293" customFormat="1" ht="22.5" hidden="1" customHeight="1">
      <c r="L18" s="1374"/>
      <c r="M18" s="1289"/>
      <c r="N18" s="1289"/>
      <c r="O18" s="1294" t="s">
        <v>421</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422</v>
      </c>
      <c r="P20" s="1289"/>
      <c r="Q20" s="1369"/>
      <c r="R20" s="1369"/>
      <c r="S20" s="666"/>
      <c r="T20" s="1087" t="s">
        <v>423</v>
      </c>
      <c r="Z20" s="124" t="s">
        <v>424</v>
      </c>
      <c r="AB20" s="124" t="s">
        <v>425</v>
      </c>
      <c r="AC20" s="1087" t="s">
        <v>423</v>
      </c>
      <c r="AG20" s="124" t="s">
        <v>426</v>
      </c>
      <c r="AI20" s="124" t="s">
        <v>425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4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49"/>
      <c r="U24" s="2449"/>
      <c r="V24" s="2449"/>
      <c r="W24" s="2449"/>
      <c r="X24" s="2449"/>
      <c r="Y24" s="2449"/>
      <c r="Z24" s="2449"/>
      <c r="AA24" s="2449"/>
      <c r="AB24" s="2449"/>
      <c r="AC24" s="2449"/>
      <c r="AD24" s="2449"/>
      <c r="AE24" s="2449"/>
      <c r="AF24" s="2449"/>
      <c r="AG24" s="2449"/>
      <c r="AH24" s="2449"/>
      <c r="AI24" s="1170"/>
      <c r="AQ24" s="1082">
        <v>14</v>
      </c>
    </row>
    <row r="25" spans="1:43" ht="14.65" customHeight="1">
      <c r="Q25" s="313"/>
      <c r="R25" s="313"/>
      <c r="S25" s="2421" t="str">
        <f>IF(org=0,"Не определено",org)</f>
        <v>МУП "Городские тепловые сети" МО  "город Курчатов"</v>
      </c>
      <c r="T25" s="2421"/>
      <c r="U25" s="2421"/>
      <c r="V25" s="2421"/>
      <c r="W25" s="2421"/>
      <c r="X25" s="2421"/>
      <c r="Y25" s="2421"/>
      <c r="Z25" s="2421"/>
      <c r="AA25" s="2421"/>
      <c r="AB25" s="2421"/>
      <c r="AC25" s="2421"/>
      <c r="AD25" s="2421"/>
      <c r="AE25" s="2421"/>
      <c r="AF25" s="2421"/>
      <c r="AG25" s="2421"/>
      <c r="AH25" s="2421"/>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459" t="s">
        <v>42</v>
      </c>
      <c r="T27" s="2459"/>
      <c r="U27" s="1299"/>
      <c r="V27" s="2461" t="str">
        <f>IF(TITLE_NAME_OR_PR_CHANGE="",IF(TITLE_NAME_OR_PR="","",TITLE_NAME_OR_PR),TITLE_NAME_OR_PR_CHANGE)</f>
        <v/>
      </c>
      <c r="W27" s="2461"/>
      <c r="X27" s="2461"/>
      <c r="Y27" s="2461"/>
      <c r="Z27" s="2461"/>
      <c r="AA27" s="2461"/>
      <c r="AB27" s="264"/>
      <c r="AC27" s="2461" t="str">
        <f>IF(TITLE_NAME_OR_PR_CHANGE="",IF(TITLE_NAME_OR_PR="","",TITLE_NAME_OR_PR),TITLE_NAME_OR_PR_CHANGE)</f>
        <v/>
      </c>
      <c r="AD27" s="2461"/>
      <c r="AE27" s="2461"/>
      <c r="AF27" s="2461"/>
      <c r="AG27" s="2461"/>
      <c r="AH27" s="2461"/>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459" t="s">
        <v>427</v>
      </c>
      <c r="T28" s="2459"/>
      <c r="U28" s="1299"/>
      <c r="V28" s="2460">
        <f>IF(TITLE_DATE_PR_CHANGE="",IF(TITLE_DATE_PR="","",TITLE_DATE_PR),TITLE_DATE_PR_CHANGE)</f>
        <v>45775</v>
      </c>
      <c r="W28" s="2460"/>
      <c r="X28" s="2460"/>
      <c r="Y28" s="2460"/>
      <c r="Z28" s="2460"/>
      <c r="AA28" s="2460"/>
      <c r="AB28" s="264"/>
      <c r="AC28" s="2460">
        <f>IF(TITLE_DATE_PR_CHANGE="",IF(TITLE_DATE_PR="","",TITLE_DATE_PR),TITLE_DATE_PR_CHANGE)</f>
        <v>45775</v>
      </c>
      <c r="AD28" s="2460"/>
      <c r="AE28" s="2460"/>
      <c r="AF28" s="2460"/>
      <c r="AG28" s="2460"/>
      <c r="AH28" s="2460"/>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459" t="s">
        <v>428</v>
      </c>
      <c r="T29" s="2459"/>
      <c r="U29" s="1299"/>
      <c r="V29" s="2461" t="str">
        <f>IF(TITLE_NUMBER_PR_CHANGE="",IF(TITLE_NUMBER_PR="","",TITLE_NUMBER_PR),TITLE_NUMBER_PR_CHANGE)</f>
        <v>03.5-1382</v>
      </c>
      <c r="W29" s="2461"/>
      <c r="X29" s="2461"/>
      <c r="Y29" s="2461"/>
      <c r="Z29" s="2461"/>
      <c r="AA29" s="2461"/>
      <c r="AB29" s="264"/>
      <c r="AC29" s="2461" t="str">
        <f>IF(TITLE_NUMBER_PR_CHANGE="",IF(TITLE_NUMBER_PR="","",TITLE_NUMBER_PR),TITLE_NUMBER_PR_CHANGE)</f>
        <v>03.5-1382</v>
      </c>
      <c r="AD29" s="2461"/>
      <c r="AE29" s="2461"/>
      <c r="AF29" s="2461"/>
      <c r="AG29" s="2461"/>
      <c r="AH29" s="2461"/>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459" t="s">
        <v>43</v>
      </c>
      <c r="T30" s="2459"/>
      <c r="U30" s="1299"/>
      <c r="V30" s="2461" t="str">
        <f>IF(TITLE_IST_PUB_CHANGE="",IF(TITLE_IST_PUB="","",TITLE_IST_PUB),TITLE_IST_PUB_CHANGE)</f>
        <v/>
      </c>
      <c r="W30" s="2461"/>
      <c r="X30" s="2461"/>
      <c r="Y30" s="2461"/>
      <c r="Z30" s="2461"/>
      <c r="AA30" s="2461"/>
      <c r="AB30" s="264"/>
      <c r="AC30" s="2461" t="str">
        <f>IF(TITLE_IST_PUB_CHANGE="",IF(TITLE_IST_PUB="","",TITLE_IST_PUB),TITLE_IST_PUB_CHANGE)</f>
        <v/>
      </c>
      <c r="AD30" s="2461"/>
      <c r="AE30" s="2461"/>
      <c r="AF30" s="2461"/>
      <c r="AG30" s="2461"/>
      <c r="AH30" s="2461"/>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459" t="s">
        <v>429</v>
      </c>
      <c r="T32" s="2459"/>
      <c r="U32" s="1299"/>
      <c r="V32" s="2460">
        <f>IF(TITLE_DATE_PR_CHANGE="",IF(TITLE_DATE_PR="","",TITLE_DATE_PR),TITLE_DATE_PR_CHANGE)</f>
        <v>45775</v>
      </c>
      <c r="W32" s="2460"/>
      <c r="X32" s="2460"/>
      <c r="Y32" s="2460"/>
      <c r="Z32" s="2460"/>
      <c r="AA32" s="2460"/>
      <c r="AB32" s="264"/>
      <c r="AC32" s="2460">
        <f>IF(TITLE_DATE_PR_CHANGE="",IF(TITLE_DATE_PR="","",TITLE_DATE_PR),TITLE_DATE_PR_CHANGE)</f>
        <v>45775</v>
      </c>
      <c r="AD32" s="2460"/>
      <c r="AE32" s="2460"/>
      <c r="AF32" s="2460"/>
      <c r="AG32" s="2460"/>
      <c r="AH32" s="2460"/>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459" t="s">
        <v>430</v>
      </c>
      <c r="T33" s="2459"/>
      <c r="U33" s="1299"/>
      <c r="V33" s="2461" t="str">
        <f>IF(TITLE_NUMBER_PR_CHANGE="",IF(TITLE_NUMBER_PR="","",TITLE_NUMBER_PR),TITLE_NUMBER_PR_CHANGE)</f>
        <v>03.5-1382</v>
      </c>
      <c r="W33" s="2461"/>
      <c r="X33" s="2461"/>
      <c r="Y33" s="2461"/>
      <c r="Z33" s="2461"/>
      <c r="AA33" s="2461"/>
      <c r="AB33" s="264"/>
      <c r="AC33" s="2461" t="str">
        <f>IF(TITLE_NUMBER_PR_CHANGE="",IF(TITLE_NUMBER_PR="","",TITLE_NUMBER_PR),TITLE_NUMBER_PR_CHANGE)</f>
        <v>03.5-1382</v>
      </c>
      <c r="AD33" s="2461"/>
      <c r="AE33" s="2461"/>
      <c r="AF33" s="2461"/>
      <c r="AG33" s="2461"/>
      <c r="AH33" s="2461"/>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431</v>
      </c>
      <c r="AC34" s="264"/>
      <c r="AD34" s="264"/>
      <c r="AE34" s="264"/>
      <c r="AF34" s="264"/>
      <c r="AG34" s="264"/>
      <c r="AH34" s="264"/>
      <c r="AI34" s="216" t="s">
        <v>431</v>
      </c>
      <c r="AL34" s="305"/>
      <c r="AM34" s="305"/>
      <c r="AN34" s="305"/>
      <c r="AO34" s="305"/>
      <c r="AP34" s="305"/>
      <c r="AQ34" s="355">
        <v>1</v>
      </c>
    </row>
    <row r="35" spans="1:43" ht="14.65" customHeight="1">
      <c r="Q35" s="313"/>
      <c r="R35" s="313"/>
      <c r="S35" s="1202"/>
      <c r="T35" s="300"/>
      <c r="U35" s="1171"/>
      <c r="V35" s="2480"/>
      <c r="W35" s="2480"/>
      <c r="X35" s="2480"/>
      <c r="Y35" s="2480"/>
      <c r="Z35" s="2480"/>
      <c r="AA35" s="2480"/>
      <c r="AB35" s="2480"/>
      <c r="AC35" s="2480"/>
      <c r="AD35" s="2480"/>
      <c r="AE35" s="2480"/>
      <c r="AF35" s="2480"/>
      <c r="AG35" s="2480"/>
      <c r="AH35" s="2480"/>
      <c r="AI35" s="2480"/>
      <c r="AQ35" s="1082">
        <v>14</v>
      </c>
    </row>
    <row r="36" spans="1:43" ht="14.65" customHeight="1">
      <c r="Q36" s="313"/>
      <c r="R36" s="313"/>
      <c r="S36" s="2332" t="s">
        <v>307</v>
      </c>
      <c r="T36" s="2332"/>
      <c r="U36" s="2332"/>
      <c r="V36" s="2332"/>
      <c r="W36" s="2332"/>
      <c r="X36" s="2332"/>
      <c r="Y36" s="2332"/>
      <c r="Z36" s="2332"/>
      <c r="AA36" s="2332"/>
      <c r="AB36" s="2332"/>
      <c r="AC36" s="2332"/>
      <c r="AD36" s="2332"/>
      <c r="AE36" s="2332"/>
      <c r="AF36" s="2332"/>
      <c r="AG36" s="2332"/>
      <c r="AH36" s="2332"/>
      <c r="AI36" s="2332"/>
      <c r="AJ36" s="2332"/>
      <c r="AK36" s="2332" t="s">
        <v>308</v>
      </c>
      <c r="AQ36" s="1082">
        <v>14</v>
      </c>
    </row>
    <row r="37" spans="1:43" ht="14.65" customHeight="1">
      <c r="Q37" s="313"/>
      <c r="R37" s="313"/>
      <c r="S37" s="2481" t="s">
        <v>89</v>
      </c>
      <c r="T37" s="2429" t="s">
        <v>432</v>
      </c>
      <c r="U37" s="239"/>
      <c r="V37" s="2482" t="s">
        <v>433</v>
      </c>
      <c r="W37" s="2483"/>
      <c r="X37" s="2483"/>
      <c r="Y37" s="2483"/>
      <c r="Z37" s="2483"/>
      <c r="AA37" s="2484"/>
      <c r="AB37" s="2485" t="s">
        <v>434</v>
      </c>
      <c r="AC37" s="2482" t="s">
        <v>433</v>
      </c>
      <c r="AD37" s="2483"/>
      <c r="AE37" s="2483"/>
      <c r="AF37" s="2483"/>
      <c r="AG37" s="2483"/>
      <c r="AH37" s="2484"/>
      <c r="AI37" s="2485" t="s">
        <v>435</v>
      </c>
      <c r="AJ37" s="2488" t="s">
        <v>436</v>
      </c>
      <c r="AK37" s="2332"/>
      <c r="AQ37" s="1082">
        <v>14</v>
      </c>
    </row>
    <row r="38" spans="1:43" ht="35.65" customHeight="1">
      <c r="Q38" s="313"/>
      <c r="R38" s="313"/>
      <c r="S38" s="2481"/>
      <c r="T38" s="2429"/>
      <c r="U38" s="961"/>
      <c r="V38" s="1379" t="s">
        <v>498</v>
      </c>
      <c r="W38" s="2314" t="s">
        <v>439</v>
      </c>
      <c r="X38" s="2313"/>
      <c r="Y38" s="2314" t="s">
        <v>440</v>
      </c>
      <c r="Z38" s="2319"/>
      <c r="AA38" s="2313"/>
      <c r="AB38" s="2486"/>
      <c r="AC38" s="1379" t="s">
        <v>498</v>
      </c>
      <c r="AD38" s="2314" t="s">
        <v>439</v>
      </c>
      <c r="AE38" s="2313"/>
      <c r="AF38" s="2314" t="s">
        <v>440</v>
      </c>
      <c r="AG38" s="2319"/>
      <c r="AH38" s="2313"/>
      <c r="AI38" s="2486"/>
      <c r="AJ38" s="2489"/>
      <c r="AK38" s="2332"/>
      <c r="AQ38" s="1082">
        <v>34</v>
      </c>
    </row>
    <row r="39" spans="1:43" ht="35.65" customHeight="1">
      <c r="A39" s="1297"/>
      <c r="B39" s="1297" t="s">
        <v>136</v>
      </c>
      <c r="C39" s="1297" t="s">
        <v>137</v>
      </c>
      <c r="D39" s="1297" t="s">
        <v>138</v>
      </c>
      <c r="E39" s="1291" t="s">
        <v>441</v>
      </c>
      <c r="F39" s="1291" t="s">
        <v>442</v>
      </c>
      <c r="G39" s="1291" t="s">
        <v>443</v>
      </c>
      <c r="H39" s="1291"/>
      <c r="I39" s="1291" t="s">
        <v>499</v>
      </c>
      <c r="J39" s="1291" t="s">
        <v>446</v>
      </c>
      <c r="K39" s="1291" t="s">
        <v>500</v>
      </c>
      <c r="L39" s="1291" t="s">
        <v>422</v>
      </c>
      <c r="Q39" s="313"/>
      <c r="R39" s="313"/>
      <c r="S39" s="2481"/>
      <c r="T39" s="2429"/>
      <c r="U39" s="240"/>
      <c r="V39" s="1379" t="s">
        <v>501</v>
      </c>
      <c r="W39" s="1149" t="s">
        <v>502</v>
      </c>
      <c r="X39" s="1149" t="s">
        <v>503</v>
      </c>
      <c r="Y39" s="1382" t="s">
        <v>450</v>
      </c>
      <c r="Z39" s="2434" t="s">
        <v>451</v>
      </c>
      <c r="AA39" s="2448"/>
      <c r="AB39" s="2487"/>
      <c r="AC39" s="1379" t="s">
        <v>501</v>
      </c>
      <c r="AD39" s="1149" t="s">
        <v>502</v>
      </c>
      <c r="AE39" s="1149" t="s">
        <v>503</v>
      </c>
      <c r="AF39" s="1382" t="s">
        <v>450</v>
      </c>
      <c r="AG39" s="2434" t="s">
        <v>451</v>
      </c>
      <c r="AH39" s="2448"/>
      <c r="AI39" s="2487"/>
      <c r="AJ39" s="2490"/>
      <c r="AK39" s="2332"/>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479">
        <f ca="1">OFFSET(Z40,0,-1)+1</f>
        <v>7</v>
      </c>
      <c r="AA40" s="2479"/>
      <c r="AB40" s="1378">
        <f ca="1">OFFSET(AB40,0,-2)+1</f>
        <v>8</v>
      </c>
      <c r="AC40" s="1378">
        <f ca="1">OFFSET(AC40,0,-1)+1</f>
        <v>9</v>
      </c>
      <c r="AD40" s="1378">
        <f ca="1">OFFSET(AD40,0,-1)+1</f>
        <v>10</v>
      </c>
      <c r="AE40" s="1378">
        <f ca="1">OFFSET(AE40,0,-1)+1</f>
        <v>11</v>
      </c>
      <c r="AF40" s="1378">
        <f ca="1">OFFSET(AF40,0,-1)+1</f>
        <v>12</v>
      </c>
      <c r="AG40" s="2479">
        <f ca="1">OFFSET(AG40,0,-1)+1</f>
        <v>13</v>
      </c>
      <c r="AH40" s="2479"/>
      <c r="AI40" s="1378">
        <f ca="1">OFFSET(AI40,0,-2)+1</f>
        <v>14</v>
      </c>
      <c r="AJ40" s="1172">
        <f ca="1">OFFSET(AJ40,0,-1)</f>
        <v>14</v>
      </c>
      <c r="AK40" s="1378">
        <f ca="1">OFFSET(AK40,0,-1)+1</f>
        <v>15</v>
      </c>
      <c r="AL40" s="448"/>
      <c r="AM40" s="448"/>
      <c r="AN40" s="448"/>
      <c r="AO40" s="448"/>
      <c r="AP40" s="448"/>
      <c r="AQ40" s="433">
        <v>0</v>
      </c>
    </row>
    <row r="41" spans="1:43" ht="24" customHeight="1">
      <c r="A41" s="1290" t="s">
        <v>248</v>
      </c>
      <c r="B41" s="1290"/>
      <c r="C41" s="1290"/>
      <c r="D41" s="1290"/>
      <c r="E41" s="2468">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462"/>
      <c r="W41" s="2463"/>
      <c r="X41" s="2463"/>
      <c r="Y41" s="2463"/>
      <c r="Z41" s="2463"/>
      <c r="AA41" s="2463"/>
      <c r="AB41" s="2464"/>
      <c r="AC41" s="2462" t="str">
        <f>INDEX(PT_DIFFERENTIATION_NTAR,MATCH(A41,PT_DIFFERENTIATION_NTAR_ID,0))</f>
        <v/>
      </c>
      <c r="AD41" s="2463"/>
      <c r="AE41" s="2463"/>
      <c r="AF41" s="2463"/>
      <c r="AG41" s="2463"/>
      <c r="AH41" s="2463"/>
      <c r="AI41" s="2463"/>
      <c r="AJ41" s="246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248</v>
      </c>
      <c r="B42" s="1290" t="s">
        <v>249</v>
      </c>
      <c r="C42" s="1290"/>
      <c r="D42" s="1290"/>
      <c r="E42" s="2469"/>
      <c r="F42" s="2468">
        <v>1</v>
      </c>
      <c r="G42" s="1290"/>
      <c r="H42" s="1290"/>
      <c r="I42" s="1290"/>
      <c r="J42" s="1290"/>
      <c r="K42" s="1290"/>
      <c r="L42" s="1291"/>
      <c r="M42" s="1292"/>
      <c r="N42" s="1292"/>
      <c r="O42" s="1292"/>
      <c r="P42" s="1380"/>
      <c r="Q42" s="289"/>
      <c r="R42" s="290"/>
      <c r="S42" s="1384" t="str">
        <f>INDEX(PT_DIFFERENTIATION_NUM_TER,MATCH(B42,PT_DIFFERENTIATION_TER_ID,0))</f>
        <v>.</v>
      </c>
      <c r="T42" s="246" t="s">
        <v>404</v>
      </c>
      <c r="U42" s="238"/>
      <c r="V42" s="2462"/>
      <c r="W42" s="2463"/>
      <c r="X42" s="2463"/>
      <c r="Y42" s="2463"/>
      <c r="Z42" s="2463"/>
      <c r="AA42" s="2463"/>
      <c r="AB42" s="2464"/>
      <c r="AC42" s="2462" t="str">
        <f>INDEX(PT_DIFFERENTIATION_TER,MATCH(B42,PT_DIFFERENTIATION_TER_ID,0))</f>
        <v/>
      </c>
      <c r="AD42" s="2463"/>
      <c r="AE42" s="2463"/>
      <c r="AF42" s="2463"/>
      <c r="AG42" s="2463"/>
      <c r="AH42" s="2463"/>
      <c r="AI42" s="2463"/>
      <c r="AJ42" s="2464"/>
      <c r="AK42" s="1185" t="s">
        <v>405</v>
      </c>
      <c r="AM42" s="437"/>
      <c r="AN42" s="437" t="str">
        <f t="shared" si="1"/>
        <v>Территория действия тарифа</v>
      </c>
      <c r="AO42" s="437"/>
      <c r="AP42" s="437"/>
      <c r="AQ42" s="1082">
        <v>23</v>
      </c>
    </row>
    <row r="43" spans="1:43" ht="24" customHeight="1">
      <c r="A43" s="1290" t="s">
        <v>248</v>
      </c>
      <c r="B43" s="1290" t="s">
        <v>249</v>
      </c>
      <c r="C43" s="1290" t="s">
        <v>250</v>
      </c>
      <c r="D43" s="1290"/>
      <c r="E43" s="2469"/>
      <c r="F43" s="2469"/>
      <c r="G43" s="2468">
        <v>1</v>
      </c>
      <c r="H43" s="1290"/>
      <c r="I43" s="1290"/>
      <c r="J43" s="1290"/>
      <c r="K43" s="1290"/>
      <c r="L43" s="1291"/>
      <c r="M43" s="1292"/>
      <c r="N43" s="1292"/>
      <c r="O43" s="1292"/>
      <c r="P43" s="291"/>
      <c r="Q43" s="289"/>
      <c r="R43" s="290"/>
      <c r="S43" s="1384" t="str">
        <f>INDEX(PT_DIFFERENTIATION_NUM_CS,MATCH(C43,PT_DIFFERENTIATION_CS_ID,0))</f>
        <v>..</v>
      </c>
      <c r="T43" s="247" t="s">
        <v>490</v>
      </c>
      <c r="U43" s="238"/>
      <c r="V43" s="2462"/>
      <c r="W43" s="2463"/>
      <c r="X43" s="2463"/>
      <c r="Y43" s="2463"/>
      <c r="Z43" s="2463"/>
      <c r="AA43" s="2463"/>
      <c r="AB43" s="2464"/>
      <c r="AC43" s="2462" t="str">
        <f>INDEX(PT_DIFFERENTIATION_CS,MATCH(C43,PT_DIFFERENTIATION_CS_ID,0))</f>
        <v/>
      </c>
      <c r="AD43" s="2463"/>
      <c r="AE43" s="2463"/>
      <c r="AF43" s="2463"/>
      <c r="AG43" s="2463"/>
      <c r="AH43" s="2463"/>
      <c r="AI43" s="2463"/>
      <c r="AJ43" s="2464"/>
      <c r="AK43" s="1185" t="s">
        <v>491</v>
      </c>
      <c r="AM43" s="437"/>
      <c r="AN43" s="437" t="str">
        <f t="shared" si="1"/>
        <v>Наименование централизованной системы холодного водоснабжения</v>
      </c>
      <c r="AO43" s="437"/>
      <c r="AP43" s="437"/>
      <c r="AQ43" s="1082">
        <v>23</v>
      </c>
    </row>
    <row r="44" spans="1:43" ht="24" customHeight="1">
      <c r="A44" s="1290" t="s">
        <v>248</v>
      </c>
      <c r="B44" s="1290" t="s">
        <v>249</v>
      </c>
      <c r="C44" s="1290" t="s">
        <v>250</v>
      </c>
      <c r="D44" s="1290" t="s">
        <v>507</v>
      </c>
      <c r="E44" s="2469"/>
      <c r="F44" s="2469"/>
      <c r="G44" s="2469"/>
      <c r="H44" s="2469"/>
      <c r="I44" s="2470" t="str">
        <f>S43&amp;".1"</f>
        <v>...1</v>
      </c>
      <c r="J44" s="1290"/>
      <c r="K44" s="1290"/>
      <c r="L44" s="1291"/>
      <c r="P44" s="2472">
        <v>1</v>
      </c>
      <c r="Q44" s="1377"/>
      <c r="R44" s="293"/>
      <c r="S44" s="1384" t="str">
        <f>$I44</f>
        <v>...1</v>
      </c>
      <c r="T44" s="223" t="s">
        <v>492</v>
      </c>
      <c r="U44" s="238"/>
      <c r="V44" s="2549"/>
      <c r="W44" s="2550"/>
      <c r="X44" s="2550"/>
      <c r="Y44" s="2550"/>
      <c r="Z44" s="2550"/>
      <c r="AA44" s="2550"/>
      <c r="AB44" s="2551"/>
      <c r="AC44" s="2552"/>
      <c r="AD44" s="2553"/>
      <c r="AE44" s="2553"/>
      <c r="AF44" s="2553"/>
      <c r="AG44" s="2553"/>
      <c r="AH44" s="2553"/>
      <c r="AI44" s="2553"/>
      <c r="AJ44" s="2554"/>
      <c r="AK44" s="1185" t="s">
        <v>493</v>
      </c>
      <c r="AM44" s="437"/>
      <c r="AN44" s="437" t="str">
        <f t="shared" si="1"/>
        <v>Наименование признака дифференциации</v>
      </c>
      <c r="AO44" s="437"/>
      <c r="AP44" s="437"/>
      <c r="AQ44" s="1082">
        <v>23</v>
      </c>
    </row>
    <row r="45" spans="1:43" ht="24" customHeight="1">
      <c r="A45" s="1290" t="s">
        <v>248</v>
      </c>
      <c r="B45" s="1290" t="s">
        <v>249</v>
      </c>
      <c r="C45" s="1290" t="s">
        <v>250</v>
      </c>
      <c r="D45" s="1290" t="s">
        <v>507</v>
      </c>
      <c r="E45" s="2469"/>
      <c r="F45" s="2469"/>
      <c r="G45" s="2469"/>
      <c r="H45" s="2469"/>
      <c r="I45" s="2471"/>
      <c r="J45" s="2470" t="str">
        <f>I44&amp;".1"</f>
        <v>...1.1</v>
      </c>
      <c r="K45" s="1290"/>
      <c r="L45" s="1291" t="s">
        <v>413</v>
      </c>
      <c r="P45" s="2472"/>
      <c r="Q45" s="2472">
        <v>1</v>
      </c>
      <c r="R45" s="294"/>
      <c r="S45" s="1384" t="str">
        <f>$J45</f>
        <v>...1.1</v>
      </c>
      <c r="T45" s="224" t="s">
        <v>414</v>
      </c>
      <c r="U45" s="238"/>
      <c r="V45" s="2456"/>
      <c r="W45" s="2457"/>
      <c r="X45" s="2457"/>
      <c r="Y45" s="2457"/>
      <c r="Z45" s="2457"/>
      <c r="AA45" s="2457"/>
      <c r="AB45" s="2458"/>
      <c r="AC45" s="2456"/>
      <c r="AD45" s="2457"/>
      <c r="AE45" s="2457"/>
      <c r="AF45" s="2457"/>
      <c r="AG45" s="2457"/>
      <c r="AH45" s="2457"/>
      <c r="AI45" s="2457"/>
      <c r="AJ45" s="2458"/>
      <c r="AK45" s="1234" t="s">
        <v>494</v>
      </c>
      <c r="AM45" s="437"/>
      <c r="AN45" s="437" t="str">
        <f t="shared" si="1"/>
        <v>Группа потребителей</v>
      </c>
      <c r="AO45" s="437"/>
      <c r="AP45" s="437"/>
      <c r="AQ45" s="1082">
        <v>23</v>
      </c>
    </row>
    <row r="46" spans="1:43" ht="24" customHeight="1">
      <c r="A46" s="1290" t="s">
        <v>248</v>
      </c>
      <c r="B46" s="1290" t="s">
        <v>249</v>
      </c>
      <c r="C46" s="1290" t="s">
        <v>250</v>
      </c>
      <c r="D46" s="1290" t="s">
        <v>507</v>
      </c>
      <c r="E46" s="2469"/>
      <c r="F46" s="2469"/>
      <c r="G46" s="2469"/>
      <c r="H46" s="2469"/>
      <c r="I46" s="2471"/>
      <c r="J46" s="2471"/>
      <c r="K46" s="2470" t="str">
        <f>J45&amp;".1"</f>
        <v>...1.1.1</v>
      </c>
      <c r="L46" s="1291"/>
      <c r="P46" s="2472"/>
      <c r="Q46" s="2472"/>
      <c r="R46" s="294">
        <v>1</v>
      </c>
      <c r="S46" s="1384" t="str">
        <f>$K46</f>
        <v>...1.1.1</v>
      </c>
      <c r="T46" s="1364"/>
      <c r="U46" s="238"/>
      <c r="V46" s="688"/>
      <c r="W46" s="688"/>
      <c r="X46" s="1184"/>
      <c r="Y46" s="2473"/>
      <c r="Z46" s="2342" t="s">
        <v>67</v>
      </c>
      <c r="AA46" s="2473"/>
      <c r="AB46" s="2342" t="s">
        <v>67</v>
      </c>
      <c r="AC46" s="688"/>
      <c r="AD46" s="688"/>
      <c r="AE46" s="1184"/>
      <c r="AF46" s="2473"/>
      <c r="AG46" s="2342" t="s">
        <v>67</v>
      </c>
      <c r="AH46" s="2475"/>
      <c r="AI46" s="2342" t="s">
        <v>67</v>
      </c>
      <c r="AJ46" s="1365"/>
      <c r="AK46" s="25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248</v>
      </c>
      <c r="B47" s="1290" t="s">
        <v>249</v>
      </c>
      <c r="C47" s="1290" t="s">
        <v>250</v>
      </c>
      <c r="D47" s="1290" t="s">
        <v>507</v>
      </c>
      <c r="E47" s="2469"/>
      <c r="F47" s="2469"/>
      <c r="G47" s="2469"/>
      <c r="H47" s="2469"/>
      <c r="I47" s="2471"/>
      <c r="J47" s="2471"/>
      <c r="K47" s="2470"/>
      <c r="L47" s="1291"/>
      <c r="P47" s="2472"/>
      <c r="Q47" s="2472"/>
      <c r="R47" s="294"/>
      <c r="S47" s="1383"/>
      <c r="T47" s="238"/>
      <c r="U47" s="238"/>
      <c r="V47" s="263"/>
      <c r="W47" s="263"/>
      <c r="X47" s="266" t="str">
        <f>Y46&amp;"-"&amp;AA46</f>
        <v>-</v>
      </c>
      <c r="Y47" s="2474"/>
      <c r="Z47" s="2342"/>
      <c r="AA47" s="2474"/>
      <c r="AB47" s="2342"/>
      <c r="AC47" s="263"/>
      <c r="AD47" s="263"/>
      <c r="AE47" s="266" t="str">
        <f>AF46&amp;"-"&amp;AH46</f>
        <v>-</v>
      </c>
      <c r="AF47" s="2474"/>
      <c r="AG47" s="2342"/>
      <c r="AH47" s="2476"/>
      <c r="AI47" s="2342"/>
      <c r="AJ47" s="1366"/>
      <c r="AK47" s="2555"/>
      <c r="AM47" s="437"/>
      <c r="AN47" s="437" t="str">
        <f t="shared" si="1"/>
        <v/>
      </c>
      <c r="AO47" s="437"/>
      <c r="AP47" s="437"/>
      <c r="AQ47" s="1082">
        <v>0</v>
      </c>
    </row>
    <row r="48" spans="1:43" ht="21" customHeight="1">
      <c r="A48" s="1290" t="s">
        <v>248</v>
      </c>
      <c r="B48" s="1290" t="s">
        <v>249</v>
      </c>
      <c r="C48" s="1290" t="s">
        <v>250</v>
      </c>
      <c r="D48" s="1290" t="s">
        <v>507</v>
      </c>
      <c r="E48" s="2469"/>
      <c r="F48" s="2469"/>
      <c r="G48" s="2469"/>
      <c r="H48" s="2469"/>
      <c r="I48" s="2471"/>
      <c r="J48" s="2470"/>
      <c r="K48" s="1290"/>
      <c r="L48" s="1291"/>
      <c r="P48" s="2472"/>
      <c r="Q48" s="2472"/>
      <c r="R48" s="293"/>
      <c r="S48" s="1205"/>
      <c r="T48" s="225" t="s">
        <v>495</v>
      </c>
      <c r="U48" s="304"/>
      <c r="V48" s="304"/>
      <c r="W48" s="304"/>
      <c r="X48" s="304"/>
      <c r="Y48" s="304"/>
      <c r="Z48" s="304"/>
      <c r="AA48" s="304"/>
      <c r="AB48" s="304"/>
      <c r="AC48" s="304"/>
      <c r="AD48" s="304"/>
      <c r="AE48" s="304"/>
      <c r="AF48" s="304"/>
      <c r="AG48" s="304"/>
      <c r="AH48" s="304"/>
      <c r="AI48" s="304"/>
      <c r="AJ48" s="304"/>
      <c r="AK48" s="1185" t="s">
        <v>496</v>
      </c>
      <c r="AM48" s="437"/>
      <c r="AN48" s="437" t="str">
        <f t="shared" si="1"/>
        <v>Добавить значение признака дифференциации</v>
      </c>
      <c r="AO48" s="437"/>
      <c r="AP48" s="437"/>
      <c r="AQ48" s="1082">
        <v>20</v>
      </c>
    </row>
    <row r="49" spans="1:43" ht="21.95" customHeight="1">
      <c r="A49" s="1290" t="s">
        <v>248</v>
      </c>
      <c r="B49" s="1290" t="s">
        <v>249</v>
      </c>
      <c r="C49" s="1290" t="s">
        <v>250</v>
      </c>
      <c r="D49" s="1290" t="s">
        <v>507</v>
      </c>
      <c r="E49" s="2469"/>
      <c r="F49" s="2469"/>
      <c r="G49" s="2469"/>
      <c r="H49" s="2469"/>
      <c r="I49" s="2470"/>
      <c r="J49" s="1290"/>
      <c r="K49" s="1290"/>
      <c r="L49" s="1291"/>
      <c r="P49" s="2472"/>
      <c r="Q49" s="1377"/>
      <c r="R49" s="293"/>
      <c r="S49" s="1205"/>
      <c r="T49" s="302" t="s">
        <v>419</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248</v>
      </c>
      <c r="B50" s="1290" t="s">
        <v>249</v>
      </c>
      <c r="C50" s="1290" t="s">
        <v>250</v>
      </c>
      <c r="D50" s="1290" t="s">
        <v>507</v>
      </c>
      <c r="E50" s="2469"/>
      <c r="F50" s="2469"/>
      <c r="G50" s="2469"/>
      <c r="H50" s="2468"/>
      <c r="I50" s="1290"/>
      <c r="J50" s="1290"/>
      <c r="K50" s="1290"/>
      <c r="L50" s="1291"/>
      <c r="M50" s="1292"/>
      <c r="N50" s="1292"/>
      <c r="O50" s="474"/>
      <c r="P50" s="297"/>
      <c r="Q50" s="312"/>
      <c r="R50" s="292"/>
      <c r="S50" s="1205"/>
      <c r="T50" s="309" t="s">
        <v>497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248</v>
      </c>
      <c r="B51" s="1270" t="s">
        <v>249</v>
      </c>
      <c r="C51" s="1241"/>
      <c r="D51" s="1241"/>
      <c r="E51" s="2469"/>
      <c r="F51" s="2468"/>
      <c r="G51" s="1241"/>
      <c r="H51" s="1241"/>
      <c r="I51" s="1241"/>
      <c r="J51" s="1241"/>
      <c r="K51" s="1241"/>
      <c r="L51" s="1385"/>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248</v>
      </c>
      <c r="B52" s="1270"/>
      <c r="C52" s="1270"/>
      <c r="D52" s="1270"/>
      <c r="E52" s="2468"/>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467"/>
      <c r="U55" s="2467"/>
      <c r="V55" s="2467"/>
      <c r="W55" s="2467"/>
      <c r="X55" s="2467"/>
      <c r="Y55" s="2467"/>
      <c r="Z55" s="2467"/>
      <c r="AA55" s="2467"/>
      <c r="AB55" s="2467"/>
      <c r="AC55" s="2467"/>
      <c r="AD55" s="2467"/>
      <c r="AE55" s="2467"/>
      <c r="AF55" s="2467"/>
      <c r="AG55" s="2467"/>
      <c r="AH55" s="2467"/>
      <c r="AI55" s="2467"/>
      <c r="AJ55" s="2467"/>
      <c r="AK55" s="2467"/>
      <c r="AQ55" s="1082">
        <v>14</v>
      </c>
    </row>
    <row r="56" spans="1:43" ht="14.65" customHeight="1">
      <c r="O56" s="474"/>
      <c r="AQ56" s="1082">
        <v>14</v>
      </c>
    </row>
    <row r="57" spans="1:43" ht="14.65" customHeight="1">
      <c r="O57" s="474"/>
      <c r="S57" s="1180"/>
      <c r="T57" s="2467"/>
      <c r="U57" s="2467"/>
      <c r="V57" s="2467"/>
      <c r="W57" s="2467"/>
      <c r="X57" s="2467"/>
      <c r="Y57" s="2467"/>
      <c r="Z57" s="2467"/>
      <c r="AA57" s="2467"/>
      <c r="AB57" s="2467"/>
      <c r="AC57" s="2467"/>
      <c r="AD57" s="2467"/>
      <c r="AE57" s="2467"/>
      <c r="AF57" s="2467"/>
      <c r="AG57" s="2467"/>
      <c r="AH57" s="2467"/>
      <c r="AI57" s="2467"/>
      <c r="AJ57" s="2467"/>
      <c r="AK57" s="2467"/>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1D211-6985-177F-7C66-1E6F9C73F63D}">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8" hidden="1" customWidth="1"/>
    <col min="16" max="16" width="3" style="1702" customWidth="1"/>
    <col min="17" max="17" width="3" style="1298" customWidth="1"/>
    <col min="18" max="18" width="3" style="282" customWidth="1"/>
    <col min="19" max="19" width="12" style="2009"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504">
        <v>1</v>
      </c>
      <c r="F2" s="1194"/>
      <c r="G2" s="1194"/>
      <c r="H2" s="1194"/>
      <c r="I2" s="1194"/>
      <c r="J2" s="1194"/>
      <c r="K2" s="1194"/>
      <c r="L2" s="1237"/>
      <c r="M2" s="1537"/>
      <c r="N2" s="1537"/>
      <c r="O2" s="1537"/>
      <c r="P2" s="1336"/>
      <c r="Q2" s="804"/>
      <c r="R2" s="292"/>
      <c r="S2" s="1880" t="e">
        <f>INDEX(PT_DIFFERENTIATION_NUM_NTAR,MATCH(A2,PT_DIFFERENTIATION_NTAR_ID,0))</f>
        <v>#N/A</v>
      </c>
      <c r="T2" s="1452" t="s">
        <v>124</v>
      </c>
      <c r="U2" s="238"/>
      <c r="V2" s="2463"/>
      <c r="W2" s="2463"/>
      <c r="X2" s="2463"/>
      <c r="Y2" s="2463"/>
      <c r="Z2" s="2463"/>
      <c r="AA2" s="2464"/>
      <c r="AB2" s="1874"/>
      <c r="AC2" s="2463" t="e">
        <f>INDEX(PT_DIFFERENTIATION_NTAR,MATCH(A2,PT_DIFFERENTIATION_NTAR_ID,0))</f>
        <v>#N/A</v>
      </c>
      <c r="AD2" s="2463"/>
      <c r="AE2" s="2463"/>
      <c r="AF2" s="2463"/>
      <c r="AG2" s="2463"/>
      <c r="AH2" s="2463"/>
      <c r="AI2" s="2463"/>
      <c r="AJ2" s="2464"/>
      <c r="AK2" s="1185" t="s">
        <v>403</v>
      </c>
      <c r="AM2" s="1551"/>
      <c r="AN2" s="1551" t="str">
        <f t="shared" ref="AN2:AN14" si="0">IF(T2="","",T2)</f>
        <v>Наименование тарифа</v>
      </c>
      <c r="AO2" s="1551"/>
      <c r="AP2" s="1551"/>
      <c r="AQ2" s="1558">
        <v>0</v>
      </c>
    </row>
    <row r="3" spans="1:43" ht="21" hidden="1" customHeight="1">
      <c r="A3" s="1194"/>
      <c r="B3" s="1194"/>
      <c r="C3" s="1194"/>
      <c r="D3" s="1194"/>
      <c r="E3" s="2505"/>
      <c r="F3" s="2504">
        <v>1</v>
      </c>
      <c r="G3" s="1194"/>
      <c r="H3" s="1194"/>
      <c r="I3" s="1194"/>
      <c r="J3" s="1194"/>
      <c r="K3" s="1194"/>
      <c r="L3" s="1237"/>
      <c r="M3" s="1537"/>
      <c r="N3" s="1537"/>
      <c r="O3" s="1537"/>
      <c r="P3" s="1891"/>
      <c r="Q3" s="1338"/>
      <c r="R3" s="290"/>
      <c r="S3" s="1880" t="e">
        <f>INDEX(PT_DIFFERENTIATION_NUM_TER,MATCH(B3,PT_DIFFERENTIATION_TER_ID,0))</f>
        <v>#N/A</v>
      </c>
      <c r="T3" s="1449" t="s">
        <v>404</v>
      </c>
      <c r="U3" s="238"/>
      <c r="V3" s="2463"/>
      <c r="W3" s="2463"/>
      <c r="X3" s="2463"/>
      <c r="Y3" s="2463"/>
      <c r="Z3" s="2463"/>
      <c r="AA3" s="2464"/>
      <c r="AB3" s="1874"/>
      <c r="AC3" s="2463" t="e">
        <f>INDEX(PT_DIFFERENTIATION_TER,MATCH(B3,PT_DIFFERENTIATION_TER_ID,0))</f>
        <v>#N/A</v>
      </c>
      <c r="AD3" s="2463"/>
      <c r="AE3" s="2463"/>
      <c r="AF3" s="2463"/>
      <c r="AG3" s="2463"/>
      <c r="AH3" s="2463"/>
      <c r="AI3" s="2463"/>
      <c r="AJ3" s="2464"/>
      <c r="AK3" s="1185" t="s">
        <v>405</v>
      </c>
      <c r="AM3" s="1551"/>
      <c r="AN3" s="1551" t="str">
        <f t="shared" si="0"/>
        <v>Территория действия тарифа</v>
      </c>
      <c r="AO3" s="1551"/>
      <c r="AP3" s="1551"/>
      <c r="AQ3" s="1558">
        <v>0</v>
      </c>
    </row>
    <row r="4" spans="1:43" ht="22.5" hidden="1" customHeight="1">
      <c r="A4" s="1194"/>
      <c r="B4" s="1194"/>
      <c r="C4" s="1194"/>
      <c r="D4" s="1194"/>
      <c r="E4" s="2505"/>
      <c r="F4" s="2505"/>
      <c r="G4" s="2504">
        <v>1</v>
      </c>
      <c r="H4" s="1194"/>
      <c r="I4" s="1194"/>
      <c r="J4" s="1194"/>
      <c r="K4" s="1194"/>
      <c r="L4" s="1237"/>
      <c r="M4" s="1537"/>
      <c r="N4" s="1537"/>
      <c r="O4" s="1537"/>
      <c r="P4" s="1339"/>
      <c r="Q4" s="1338"/>
      <c r="R4" s="290"/>
      <c r="S4" s="1880" t="e">
        <f>INDEX(PT_DIFFERENTIATION_NUM_CS,MATCH(C4,PT_DIFFERENTIATION_CS_ID,0))</f>
        <v>#N/A</v>
      </c>
      <c r="T4" s="247" t="s">
        <v>406</v>
      </c>
      <c r="U4" s="238"/>
      <c r="V4" s="2463"/>
      <c r="W4" s="2463"/>
      <c r="X4" s="2463"/>
      <c r="Y4" s="2463"/>
      <c r="Z4" s="2463"/>
      <c r="AA4" s="2464"/>
      <c r="AB4" s="1874"/>
      <c r="AC4" s="2463" t="e">
        <f>INDEX(PT_DIFFERENTIATION_CS,MATCH(C4,PT_DIFFERENTIATION_CS_ID,0))</f>
        <v>#N/A</v>
      </c>
      <c r="AD4" s="2463"/>
      <c r="AE4" s="2463"/>
      <c r="AF4" s="2463"/>
      <c r="AG4" s="2463"/>
      <c r="AH4" s="2463"/>
      <c r="AI4" s="2463"/>
      <c r="AJ4" s="2464"/>
      <c r="AK4" s="1185" t="s">
        <v>407</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505"/>
      <c r="F5" s="2505"/>
      <c r="G5" s="2505"/>
      <c r="H5" s="2504">
        <v>1</v>
      </c>
      <c r="I5" s="1194"/>
      <c r="J5" s="1194"/>
      <c r="K5" s="1194"/>
      <c r="L5" s="1237"/>
      <c r="M5" s="1537"/>
      <c r="N5" s="1537"/>
      <c r="O5" s="1537"/>
      <c r="P5" s="1339"/>
      <c r="Q5" s="1338"/>
      <c r="R5" s="290"/>
      <c r="S5" s="1880" t="e">
        <f>INDEX(PT_DIFFERENTIATION_NUM_IST_TE,MATCH(D5,PT_DIFFERENTIATION_IST_TE_ID,0))</f>
        <v>#N/A</v>
      </c>
      <c r="T5" s="248" t="s">
        <v>408</v>
      </c>
      <c r="U5" s="238"/>
      <c r="V5" s="2463"/>
      <c r="W5" s="2463"/>
      <c r="X5" s="2463"/>
      <c r="Y5" s="2463"/>
      <c r="Z5" s="2463"/>
      <c r="AA5" s="2464"/>
      <c r="AB5" s="1874"/>
      <c r="AC5" s="2463" t="e">
        <f>INDEX(PT_DIFFERENTIATION_IST_TE,MATCH(D5,PT_DIFFERENTIATION_IST_TE_ID,0))</f>
        <v>#N/A</v>
      </c>
      <c r="AD5" s="2463"/>
      <c r="AE5" s="2463"/>
      <c r="AF5" s="2463"/>
      <c r="AG5" s="2463"/>
      <c r="AH5" s="2463"/>
      <c r="AI5" s="2463"/>
      <c r="AJ5" s="2464"/>
      <c r="AK5" s="1185" t="s">
        <v>409</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505"/>
      <c r="F6" s="2505"/>
      <c r="G6" s="2505"/>
      <c r="H6" s="2505"/>
      <c r="I6" s="2332" t="e">
        <f>S5&amp;".1"</f>
        <v>#N/A</v>
      </c>
      <c r="J6" s="1302"/>
      <c r="K6" s="1302"/>
      <c r="L6" s="1308" t="s">
        <v>410</v>
      </c>
      <c r="M6" s="1173"/>
      <c r="N6" s="1173"/>
      <c r="O6" s="1173"/>
      <c r="P6" s="2472">
        <v>1</v>
      </c>
      <c r="Q6" s="1876"/>
      <c r="R6" s="293"/>
      <c r="S6" s="972"/>
      <c r="T6" s="1310"/>
      <c r="U6" s="1311"/>
      <c r="V6" s="2510"/>
      <c r="W6" s="2510"/>
      <c r="X6" s="2510"/>
      <c r="Y6" s="2510"/>
      <c r="Z6" s="2510"/>
      <c r="AA6" s="2511"/>
      <c r="AB6" s="1882"/>
      <c r="AC6" s="2510"/>
      <c r="AD6" s="2510"/>
      <c r="AE6" s="2510"/>
      <c r="AF6" s="2510"/>
      <c r="AG6" s="2510"/>
      <c r="AH6" s="2510"/>
      <c r="AI6" s="2510"/>
      <c r="AJ6" s="2511"/>
      <c r="AK6" s="1312"/>
      <c r="AM6" s="1551"/>
      <c r="AN6" s="1551" t="str">
        <f t="shared" si="0"/>
        <v/>
      </c>
      <c r="AO6" s="1551"/>
      <c r="AP6" s="1551"/>
      <c r="AQ6" s="1563">
        <v>0</v>
      </c>
    </row>
    <row r="7" spans="1:43" s="1569" customFormat="1" ht="0.75" hidden="1" customHeight="1">
      <c r="A7" s="1302"/>
      <c r="B7" s="1302"/>
      <c r="C7" s="1302"/>
      <c r="D7" s="1302"/>
      <c r="E7" s="2505"/>
      <c r="F7" s="2505"/>
      <c r="G7" s="2505"/>
      <c r="H7" s="2505"/>
      <c r="I7" s="2314"/>
      <c r="J7" s="2332" t="e">
        <f>S5&amp;".1"</f>
        <v>#N/A</v>
      </c>
      <c r="K7" s="1302"/>
      <c r="L7" s="1308"/>
      <c r="M7" s="1173"/>
      <c r="N7" s="1173"/>
      <c r="O7" s="1173"/>
      <c r="P7" s="2472"/>
      <c r="Q7" s="2472">
        <v>1</v>
      </c>
      <c r="R7" s="294"/>
      <c r="S7" s="972"/>
      <c r="T7" s="1326"/>
      <c r="U7" s="1311"/>
      <c r="V7" s="2510"/>
      <c r="W7" s="2510"/>
      <c r="X7" s="2510"/>
      <c r="Y7" s="2510"/>
      <c r="Z7" s="2510"/>
      <c r="AA7" s="2511"/>
      <c r="AB7" s="1882"/>
      <c r="AC7" s="2510"/>
      <c r="AD7" s="2510"/>
      <c r="AE7" s="2510"/>
      <c r="AF7" s="2510"/>
      <c r="AG7" s="2510"/>
      <c r="AH7" s="2510"/>
      <c r="AI7" s="2510"/>
      <c r="AJ7" s="2511"/>
      <c r="AK7" s="1312"/>
      <c r="AM7" s="1551"/>
      <c r="AN7" s="1551" t="str">
        <f t="shared" si="0"/>
        <v/>
      </c>
      <c r="AO7" s="1551"/>
      <c r="AP7" s="1551"/>
      <c r="AQ7" s="1563">
        <v>0</v>
      </c>
    </row>
    <row r="8" spans="1:43" ht="21" hidden="1" customHeight="1">
      <c r="A8" s="1194"/>
      <c r="B8" s="1194"/>
      <c r="C8" s="1194"/>
      <c r="D8" s="1194"/>
      <c r="E8" s="2505"/>
      <c r="F8" s="2505"/>
      <c r="G8" s="2505"/>
      <c r="H8" s="2505"/>
      <c r="I8" s="2314"/>
      <c r="J8" s="2314"/>
      <c r="K8" s="1913" t="e">
        <f>S5&amp;".1"</f>
        <v>#N/A</v>
      </c>
      <c r="L8" s="1237"/>
      <c r="P8" s="2472"/>
      <c r="Q8" s="2472"/>
      <c r="R8" s="1917">
        <v>1</v>
      </c>
      <c r="S8" s="1915" t="e">
        <f>$K8</f>
        <v>#N/A</v>
      </c>
      <c r="T8" s="1916"/>
      <c r="U8" s="238"/>
      <c r="V8" s="688"/>
      <c r="W8" s="1184"/>
      <c r="X8" s="1914"/>
      <c r="Y8" s="1912" t="s">
        <v>67</v>
      </c>
      <c r="Z8" s="1914"/>
      <c r="AA8" s="1912" t="s">
        <v>67</v>
      </c>
      <c r="AB8" s="1918"/>
      <c r="AC8" s="1919" t="s">
        <v>28</v>
      </c>
      <c r="AD8" s="688"/>
      <c r="AE8" s="1184"/>
      <c r="AF8" s="1877"/>
      <c r="AG8" s="1864" t="s">
        <v>67</v>
      </c>
      <c r="AH8" s="1877"/>
      <c r="AI8" s="1864" t="s">
        <v>67</v>
      </c>
      <c r="AJ8" s="1275"/>
      <c r="AK8" s="2491" t="s">
        <v>473</v>
      </c>
      <c r="AL8" s="1563" t="e">
        <f ca="1">STRCHECKDATE(#REF!)</f>
        <v>#NAME?</v>
      </c>
      <c r="AM8" s="1551"/>
      <c r="AN8" s="1551" t="str">
        <f t="shared" si="0"/>
        <v/>
      </c>
      <c r="AO8" s="1551"/>
      <c r="AP8" s="1551"/>
      <c r="AQ8" s="1558">
        <v>0</v>
      </c>
    </row>
    <row r="9" spans="1:43" ht="11.25" hidden="1" customHeight="1">
      <c r="A9" s="1194"/>
      <c r="B9" s="1194"/>
      <c r="C9" s="1194"/>
      <c r="D9" s="1194"/>
      <c r="E9" s="2505"/>
      <c r="F9" s="2505"/>
      <c r="G9" s="2505"/>
      <c r="H9" s="2505"/>
      <c r="I9" s="2314"/>
      <c r="J9" s="2332"/>
      <c r="K9" s="1194"/>
      <c r="L9" s="1237"/>
      <c r="P9" s="2472"/>
      <c r="Q9" s="2472"/>
      <c r="R9" s="293"/>
      <c r="S9" s="1205"/>
      <c r="T9" s="225" t="s">
        <v>477</v>
      </c>
      <c r="U9" s="537"/>
      <c r="V9" s="537"/>
      <c r="W9" s="537"/>
      <c r="X9" s="537"/>
      <c r="Y9" s="537"/>
      <c r="Z9" s="537"/>
      <c r="AA9" s="537"/>
      <c r="AB9" s="537"/>
      <c r="AC9" s="537"/>
      <c r="AD9" s="537"/>
      <c r="AE9" s="537"/>
      <c r="AF9" s="537"/>
      <c r="AG9" s="537"/>
      <c r="AH9" s="537"/>
      <c r="AI9" s="537"/>
      <c r="AJ9" s="262"/>
      <c r="AK9" s="2493"/>
      <c r="AM9" s="1551"/>
      <c r="AN9" s="1551" t="str">
        <f t="shared" si="0"/>
        <v>Добавить строку</v>
      </c>
      <c r="AO9" s="1551"/>
      <c r="AP9" s="1551"/>
      <c r="AQ9" s="1558">
        <v>0</v>
      </c>
    </row>
    <row r="10" spans="1:43" s="1569" customFormat="1" ht="0.75" hidden="1" customHeight="1">
      <c r="A10" s="1302"/>
      <c r="B10" s="1302"/>
      <c r="C10" s="1302"/>
      <c r="D10" s="1302"/>
      <c r="E10" s="2505"/>
      <c r="F10" s="2505"/>
      <c r="G10" s="2505"/>
      <c r="H10" s="2505"/>
      <c r="I10" s="2332"/>
      <c r="J10" s="1302"/>
      <c r="K10" s="1302"/>
      <c r="L10" s="1308"/>
      <c r="M10" s="1173"/>
      <c r="N10" s="1173"/>
      <c r="O10" s="1173"/>
      <c r="P10" s="2472"/>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505"/>
      <c r="F11" s="2505"/>
      <c r="G11" s="2505"/>
      <c r="H11" s="2504"/>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505"/>
      <c r="F12" s="2505"/>
      <c r="G12" s="2504"/>
      <c r="H12" s="1301"/>
      <c r="I12" s="1301"/>
      <c r="J12" s="1301"/>
      <c r="K12" s="1301"/>
      <c r="L12" s="1304"/>
      <c r="M12" s="1305"/>
      <c r="N12" s="1305"/>
      <c r="O12" s="288"/>
      <c r="P12" s="1243"/>
      <c r="Q12" s="1244"/>
      <c r="R12" s="1243"/>
      <c r="S12" s="1249"/>
      <c r="T12" s="1252" t="s">
        <v>169</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505"/>
      <c r="F13" s="2504"/>
      <c r="G13" s="1301"/>
      <c r="H13" s="1301"/>
      <c r="I13" s="1301"/>
      <c r="J13" s="1301"/>
      <c r="K13" s="1301"/>
      <c r="L13" s="1304"/>
      <c r="M13" s="1306"/>
      <c r="N13" s="1306"/>
      <c r="O13" s="288"/>
      <c r="P13" s="1243"/>
      <c r="Q13" s="1244"/>
      <c r="R13" s="1243"/>
      <c r="S13" s="1249"/>
      <c r="T13" s="1252" t="s">
        <v>170</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504"/>
      <c r="F14" s="1302"/>
      <c r="G14" s="1302"/>
      <c r="H14" s="1302"/>
      <c r="I14" s="1302"/>
      <c r="J14" s="1302"/>
      <c r="K14" s="1302"/>
      <c r="L14" s="1308"/>
      <c r="M14" s="1306"/>
      <c r="N14" s="1306"/>
      <c r="O14" s="288"/>
      <c r="P14" s="317"/>
      <c r="Q14" s="1271"/>
      <c r="R14" s="317"/>
      <c r="S14" s="1249"/>
      <c r="T14" s="1252" t="s">
        <v>171</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67</v>
      </c>
      <c r="AH16" s="1662"/>
      <c r="AI16" s="1888" t="s">
        <v>67</v>
      </c>
      <c r="AQ16" s="1558">
        <v>0</v>
      </c>
    </row>
    <row r="17" spans="1:43" ht="14.25" hidden="1" customHeight="1">
      <c r="AL17" s="1568"/>
      <c r="AM17" s="1568"/>
      <c r="AN17" s="1568"/>
      <c r="AO17" s="1568"/>
      <c r="AP17" s="1568"/>
      <c r="AQ17" s="1558">
        <v>0</v>
      </c>
    </row>
    <row r="18" spans="1:43" ht="14.25" hidden="1" customHeight="1">
      <c r="O18" s="1272" t="s">
        <v>421</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422</v>
      </c>
      <c r="P20" s="1435"/>
      <c r="Q20" s="1437"/>
      <c r="R20" s="1437"/>
      <c r="Y20" s="1434" t="s">
        <v>424</v>
      </c>
      <c r="AA20" s="1434" t="s">
        <v>425</v>
      </c>
      <c r="AC20" s="1434" t="s">
        <v>479</v>
      </c>
      <c r="AG20" s="1434" t="s">
        <v>424</v>
      </c>
      <c r="AI20" s="1434" t="s">
        <v>425</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4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49"/>
      <c r="U24" s="2449"/>
      <c r="V24" s="2449"/>
      <c r="W24" s="2449"/>
      <c r="X24" s="2449"/>
      <c r="Y24" s="2449"/>
      <c r="Z24" s="2449"/>
      <c r="AA24" s="2449"/>
      <c r="AB24" s="2449"/>
      <c r="AC24" s="2449"/>
      <c r="AD24" s="2449"/>
      <c r="AE24" s="2449"/>
      <c r="AF24" s="2449"/>
      <c r="AG24" s="2449"/>
      <c r="AH24" s="2449"/>
      <c r="AI24" s="1170"/>
      <c r="AQ24" s="1558">
        <v>38</v>
      </c>
    </row>
    <row r="25" spans="1:43" ht="14.65" customHeight="1">
      <c r="Q25" s="229"/>
      <c r="R25" s="313"/>
      <c r="S25" s="2421" t="str">
        <f>IF(org=0,"Не определено",org)</f>
        <v>МУП "Городские тепловые сети" МО  "город Курчатов"</v>
      </c>
      <c r="T25" s="2421"/>
      <c r="U25" s="2421"/>
      <c r="V25" s="2421"/>
      <c r="W25" s="2421"/>
      <c r="X25" s="2421"/>
      <c r="Y25" s="2421"/>
      <c r="Z25" s="2421"/>
      <c r="AA25" s="2421"/>
      <c r="AB25" s="2421"/>
      <c r="AC25" s="2421"/>
      <c r="AD25" s="2421"/>
      <c r="AE25" s="2421"/>
      <c r="AF25" s="2421"/>
      <c r="AG25" s="2421"/>
      <c r="AH25" s="2421"/>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459" t="s">
        <v>42</v>
      </c>
      <c r="T27" s="2459"/>
      <c r="U27" s="1299"/>
      <c r="V27" s="2461" t="str">
        <f>IF(TITLE_NAME_OR_PR_CHANGE="",IF(TITLE_NAME_OR_PR="","",TITLE_NAME_OR_PR),TITLE_NAME_OR_PR_CHANGE)</f>
        <v/>
      </c>
      <c r="W27" s="2461"/>
      <c r="X27" s="2461"/>
      <c r="Y27" s="2461"/>
      <c r="Z27" s="2461"/>
      <c r="AA27" s="1562"/>
      <c r="AB27" s="1562"/>
      <c r="AC27" s="2461"/>
      <c r="AD27" s="2461"/>
      <c r="AE27" s="2461"/>
      <c r="AF27" s="2461"/>
      <c r="AG27" s="2461"/>
      <c r="AH27" s="2461"/>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459" t="s">
        <v>427</v>
      </c>
      <c r="T28" s="2459"/>
      <c r="U28" s="1299"/>
      <c r="V28" s="2460">
        <f>IF(TITLE_DATE_PR_CHANGE="",IF(TITLE_DATE_PR="","",TITLE_DATE_PR),TITLE_DATE_PR_CHANGE)</f>
        <v>45775</v>
      </c>
      <c r="W28" s="2460"/>
      <c r="X28" s="2460"/>
      <c r="Y28" s="2460"/>
      <c r="Z28" s="2460"/>
      <c r="AA28" s="1562"/>
      <c r="AB28" s="1562"/>
      <c r="AC28" s="2460"/>
      <c r="AD28" s="2460"/>
      <c r="AE28" s="2460"/>
      <c r="AF28" s="2460"/>
      <c r="AG28" s="2460"/>
      <c r="AH28" s="2460"/>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459" t="s">
        <v>428</v>
      </c>
      <c r="T29" s="2459"/>
      <c r="U29" s="1299"/>
      <c r="V29" s="2461" t="str">
        <f>IF(TITLE_NUMBER_PR_CHANGE="",IF(TITLE_NUMBER_PR="","",TITLE_NUMBER_PR),TITLE_NUMBER_PR_CHANGE)</f>
        <v>03.5-1382</v>
      </c>
      <c r="W29" s="2461"/>
      <c r="X29" s="2461"/>
      <c r="Y29" s="2461"/>
      <c r="Z29" s="2461"/>
      <c r="AA29" s="1562"/>
      <c r="AB29" s="1562"/>
      <c r="AC29" s="2461"/>
      <c r="AD29" s="2461"/>
      <c r="AE29" s="2461"/>
      <c r="AF29" s="2461"/>
      <c r="AG29" s="2461"/>
      <c r="AH29" s="2461"/>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459" t="s">
        <v>43</v>
      </c>
      <c r="T30" s="2459"/>
      <c r="U30" s="1299"/>
      <c r="V30" s="2461" t="str">
        <f>IF(TITLE_IST_PUB_CHANGE="",IF(TITLE_IST_PUB="","",TITLE_IST_PUB),TITLE_IST_PUB_CHANGE)</f>
        <v/>
      </c>
      <c r="W30" s="2461"/>
      <c r="X30" s="2461"/>
      <c r="Y30" s="2461"/>
      <c r="Z30" s="2461"/>
      <c r="AA30" s="1562"/>
      <c r="AB30" s="1562"/>
      <c r="AC30" s="2461"/>
      <c r="AD30" s="2461"/>
      <c r="AE30" s="2461"/>
      <c r="AF30" s="2461"/>
      <c r="AG30" s="2461"/>
      <c r="AH30" s="2461"/>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459" t="s">
        <v>427</v>
      </c>
      <c r="T32" s="2459"/>
      <c r="U32" s="1299"/>
      <c r="V32" s="2460">
        <f>IF(TITLE_DATE_PR_CHANGE="",IF(TITLE_DATE_PR="","",TITLE_DATE_PR),TITLE_DATE_PR_CHANGE)</f>
        <v>45775</v>
      </c>
      <c r="W32" s="2460"/>
      <c r="X32" s="2460"/>
      <c r="Y32" s="2460"/>
      <c r="Z32" s="2460"/>
      <c r="AA32" s="1562"/>
      <c r="AB32" s="1562"/>
      <c r="AC32" s="2460"/>
      <c r="AD32" s="2460"/>
      <c r="AE32" s="2460"/>
      <c r="AF32" s="2460"/>
      <c r="AG32" s="2460"/>
      <c r="AH32" s="2460"/>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459" t="s">
        <v>428</v>
      </c>
      <c r="T33" s="2459"/>
      <c r="U33" s="1299"/>
      <c r="V33" s="2461" t="str">
        <f>IF(TITLE_NUMBER_PR_CHANGE="",IF(TITLE_NUMBER_PR="","",TITLE_NUMBER_PR),TITLE_NUMBER_PR_CHANGE)</f>
        <v>03.5-1382</v>
      </c>
      <c r="W33" s="2461"/>
      <c r="X33" s="2461"/>
      <c r="Y33" s="2461"/>
      <c r="Z33" s="2461"/>
      <c r="AA33" s="1562"/>
      <c r="AB33" s="1562"/>
      <c r="AC33" s="2461"/>
      <c r="AD33" s="2461"/>
      <c r="AE33" s="2461"/>
      <c r="AF33" s="2461"/>
      <c r="AG33" s="2461"/>
      <c r="AH33" s="2461"/>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431</v>
      </c>
      <c r="AB34" s="1569"/>
      <c r="AC34" s="1562"/>
      <c r="AD34" s="1562"/>
      <c r="AE34" s="1562"/>
      <c r="AF34" s="1562"/>
      <c r="AG34" s="1562"/>
      <c r="AH34" s="1562"/>
      <c r="AI34" s="1569" t="s">
        <v>431</v>
      </c>
      <c r="AL34" s="305"/>
      <c r="AM34" s="305"/>
      <c r="AN34" s="305"/>
      <c r="AO34" s="305"/>
      <c r="AP34" s="305"/>
      <c r="AQ34" s="355">
        <v>1</v>
      </c>
    </row>
    <row r="35" spans="1:43" ht="14.65" customHeight="1">
      <c r="Q35" s="229"/>
      <c r="R35" s="313"/>
      <c r="S35" s="1202"/>
      <c r="T35" s="394"/>
      <c r="U35" s="1171"/>
      <c r="V35" s="2480"/>
      <c r="W35" s="2480"/>
      <c r="X35" s="2480"/>
      <c r="Y35" s="2480"/>
      <c r="Z35" s="2480"/>
      <c r="AA35" s="2480"/>
      <c r="AB35" s="1879"/>
      <c r="AC35" s="2480"/>
      <c r="AD35" s="2480"/>
      <c r="AE35" s="2480"/>
      <c r="AF35" s="2480"/>
      <c r="AG35" s="2480"/>
      <c r="AH35" s="2480"/>
      <c r="AI35" s="2480"/>
      <c r="AQ35" s="1558">
        <v>14</v>
      </c>
    </row>
    <row r="36" spans="1:43" ht="14.65" customHeight="1">
      <c r="Q36" s="229"/>
      <c r="R36" s="313"/>
      <c r="S36" s="2332" t="s">
        <v>307</v>
      </c>
      <c r="T36" s="2332"/>
      <c r="U36" s="2332"/>
      <c r="V36" s="2332"/>
      <c r="W36" s="2332"/>
      <c r="X36" s="2332"/>
      <c r="Y36" s="2332"/>
      <c r="Z36" s="2332"/>
      <c r="AA36" s="2401"/>
      <c r="AB36" s="2401"/>
      <c r="AC36" s="2401"/>
      <c r="AD36" s="2332"/>
      <c r="AE36" s="2332"/>
      <c r="AF36" s="2332"/>
      <c r="AG36" s="2332"/>
      <c r="AH36" s="2332"/>
      <c r="AI36" s="2332"/>
      <c r="AJ36" s="2332"/>
      <c r="AK36" s="2332" t="s">
        <v>308</v>
      </c>
      <c r="AQ36" s="1558">
        <v>14</v>
      </c>
    </row>
    <row r="37" spans="1:43" ht="14.65" customHeight="1">
      <c r="Q37" s="229"/>
      <c r="R37" s="313"/>
      <c r="S37" s="2481" t="s">
        <v>89</v>
      </c>
      <c r="T37" s="2429" t="s">
        <v>508</v>
      </c>
      <c r="U37" s="275"/>
      <c r="V37" s="2483"/>
      <c r="W37" s="2483"/>
      <c r="X37" s="2483"/>
      <c r="Y37" s="2483"/>
      <c r="Z37" s="2483"/>
      <c r="AA37" s="2429" t="s">
        <v>434</v>
      </c>
      <c r="AB37" s="2428" t="s">
        <v>509</v>
      </c>
      <c r="AC37" s="2428" t="s">
        <v>483</v>
      </c>
      <c r="AD37" s="2508" t="s">
        <v>433</v>
      </c>
      <c r="AE37" s="2508"/>
      <c r="AF37" s="2483"/>
      <c r="AG37" s="2483"/>
      <c r="AH37" s="2484"/>
      <c r="AI37" s="2485" t="s">
        <v>434</v>
      </c>
      <c r="AJ37" s="2488" t="s">
        <v>436</v>
      </c>
      <c r="AK37" s="2332"/>
      <c r="AQ37" s="1558">
        <v>14</v>
      </c>
    </row>
    <row r="38" spans="1:43" ht="35.65" customHeight="1">
      <c r="Q38" s="229"/>
      <c r="R38" s="313"/>
      <c r="S38" s="2481"/>
      <c r="T38" s="2429"/>
      <c r="U38" s="961"/>
      <c r="V38" s="2313" t="s">
        <v>486</v>
      </c>
      <c r="W38" s="2332"/>
      <c r="X38" s="2402" t="s">
        <v>440</v>
      </c>
      <c r="Y38" s="2520"/>
      <c r="Z38" s="2520"/>
      <c r="AA38" s="2429"/>
      <c r="AB38" s="2428"/>
      <c r="AC38" s="2428"/>
      <c r="AD38" s="2313" t="s">
        <v>486</v>
      </c>
      <c r="AE38" s="2332"/>
      <c r="AF38" s="2520" t="s">
        <v>440</v>
      </c>
      <c r="AG38" s="2520"/>
      <c r="AH38" s="2403"/>
      <c r="AI38" s="2486"/>
      <c r="AJ38" s="2489"/>
      <c r="AK38" s="2332"/>
      <c r="AQ38" s="1558">
        <v>34</v>
      </c>
    </row>
    <row r="39" spans="1:43" ht="14.65" customHeight="1">
      <c r="Q39" s="229"/>
      <c r="R39" s="313"/>
      <c r="S39" s="2481"/>
      <c r="T39" s="2429"/>
      <c r="U39" s="961"/>
      <c r="V39" s="2547" t="str">
        <f>IF($AD$39&lt;&gt;"",$AD$39,"")</f>
        <v/>
      </c>
      <c r="W39" s="2547"/>
      <c r="X39" s="2407"/>
      <c r="Y39" s="2521"/>
      <c r="Z39" s="2521"/>
      <c r="AA39" s="2429"/>
      <c r="AB39" s="2428"/>
      <c r="AC39" s="2428"/>
      <c r="AD39" s="2556"/>
      <c r="AE39" s="2546"/>
      <c r="AF39" s="2521"/>
      <c r="AG39" s="2521"/>
      <c r="AH39" s="2408"/>
      <c r="AI39" s="2486"/>
      <c r="AJ39" s="2489"/>
      <c r="AK39" s="2332"/>
      <c r="AQ39" s="1558">
        <v>14</v>
      </c>
    </row>
    <row r="40" spans="1:43" ht="14.65" customHeight="1">
      <c r="A40" s="1193"/>
      <c r="B40" s="1193" t="s">
        <v>136</v>
      </c>
      <c r="C40" s="1193" t="s">
        <v>137</v>
      </c>
      <c r="D40" s="1193" t="s">
        <v>138</v>
      </c>
      <c r="E40" s="1237" t="s">
        <v>441</v>
      </c>
      <c r="F40" s="1237" t="s">
        <v>442</v>
      </c>
      <c r="G40" s="1237" t="s">
        <v>443</v>
      </c>
      <c r="H40" s="1237" t="s">
        <v>444</v>
      </c>
      <c r="I40" s="1237" t="s">
        <v>445</v>
      </c>
      <c r="J40" s="1237" t="s">
        <v>446</v>
      </c>
      <c r="K40" s="1237" t="s">
        <v>447</v>
      </c>
      <c r="L40" s="1237" t="s">
        <v>422</v>
      </c>
      <c r="Q40" s="229"/>
      <c r="R40" s="313"/>
      <c r="S40" s="2481"/>
      <c r="T40" s="2429"/>
      <c r="U40" s="240"/>
      <c r="V40" s="1872" t="s">
        <v>487</v>
      </c>
      <c r="W40" s="1872" t="s">
        <v>488</v>
      </c>
      <c r="X40" s="1860" t="s">
        <v>450</v>
      </c>
      <c r="Y40" s="2434" t="s">
        <v>451</v>
      </c>
      <c r="Z40" s="2447"/>
      <c r="AA40" s="2429"/>
      <c r="AB40" s="2428"/>
      <c r="AC40" s="2428"/>
      <c r="AD40" s="1890" t="s">
        <v>487</v>
      </c>
      <c r="AE40" s="1881" t="s">
        <v>488</v>
      </c>
      <c r="AF40" s="1860" t="s">
        <v>450</v>
      </c>
      <c r="AG40" s="2434" t="s">
        <v>451</v>
      </c>
      <c r="AH40" s="2448"/>
      <c r="AI40" s="2487"/>
      <c r="AJ40" s="2490"/>
      <c r="AK40" s="2332"/>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110</v>
      </c>
      <c r="T41" s="1182" t="s">
        <v>111</v>
      </c>
      <c r="U41" s="1172" t="str">
        <f ca="1">OFFSET(U41,0,-1)</f>
        <v>2</v>
      </c>
      <c r="V41" s="1878">
        <f ca="1">OFFSET(V41,0,-1)+1</f>
        <v>3</v>
      </c>
      <c r="W41" s="1878">
        <f ca="1">OFFSET(W41,0,-1)+1</f>
        <v>4</v>
      </c>
      <c r="X41" s="1878">
        <f ca="1">OFFSET(X41,0,-1)+1</f>
        <v>5</v>
      </c>
      <c r="Y41" s="2479">
        <f ca="1">OFFSET(Y41,0,-1)+1</f>
        <v>6</v>
      </c>
      <c r="Z41" s="2479"/>
      <c r="AA41" s="1268">
        <f ca="1">OFFSET(AA41,0,-2)+1</f>
        <v>7</v>
      </c>
      <c r="AB41" s="1268"/>
      <c r="AC41" s="1268"/>
      <c r="AD41" s="1878">
        <f ca="1">OFFSET(AD41,0,-1)+1</f>
        <v>1</v>
      </c>
      <c r="AE41" s="1878">
        <f ca="1">OFFSET(AE41,0,-1)+1</f>
        <v>2</v>
      </c>
      <c r="AF41" s="1878">
        <f ca="1">OFFSET(AF41,0,-1)+1</f>
        <v>3</v>
      </c>
      <c r="AG41" s="2479">
        <f ca="1">OFFSET(AG41,0,-1)+1</f>
        <v>4</v>
      </c>
      <c r="AH41" s="2479"/>
      <c r="AI41" s="1878">
        <f ca="1">OFFSET(AI41,0,-2)+1</f>
        <v>5</v>
      </c>
      <c r="AJ41" s="1172">
        <f ca="1">OFFSET(AJ41,0,-1)</f>
        <v>5</v>
      </c>
      <c r="AK41" s="1878">
        <f ca="1">OFFSET(AK41,0,-1)+1</f>
        <v>6</v>
      </c>
      <c r="AL41" s="1563"/>
      <c r="AM41" s="1563"/>
      <c r="AN41" s="1563"/>
      <c r="AO41" s="1563"/>
      <c r="AP41" s="1563"/>
      <c r="AQ41" s="1568">
        <v>0</v>
      </c>
    </row>
    <row r="42" spans="1:43" ht="107.25" customHeight="1">
      <c r="A42" s="1194" t="s">
        <v>213</v>
      </c>
      <c r="B42" s="1194"/>
      <c r="C42" s="1194"/>
      <c r="D42" s="1194"/>
      <c r="E42" s="2504">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124</v>
      </c>
      <c r="U42" s="238"/>
      <c r="V42" s="2463"/>
      <c r="W42" s="2463"/>
      <c r="X42" s="2463"/>
      <c r="Y42" s="2463"/>
      <c r="Z42" s="2463"/>
      <c r="AA42" s="2464"/>
      <c r="AB42" s="1874"/>
      <c r="AC42" s="2463" t="str">
        <f>INDEX(PT_DIFFERENTIATION_NTAR,MATCH(A42,PT_DIFFERENTIATION_NTAR_ID,0))</f>
        <v/>
      </c>
      <c r="AD42" s="2463"/>
      <c r="AE42" s="2463"/>
      <c r="AF42" s="2463"/>
      <c r="AG42" s="2463"/>
      <c r="AH42" s="2463"/>
      <c r="AI42" s="2463"/>
      <c r="AJ42" s="2464"/>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213</v>
      </c>
      <c r="B43" s="1194" t="s">
        <v>214</v>
      </c>
      <c r="C43" s="1194"/>
      <c r="D43" s="1194"/>
      <c r="E43" s="2505"/>
      <c r="F43" s="2504">
        <v>1</v>
      </c>
      <c r="G43" s="1194"/>
      <c r="H43" s="1194"/>
      <c r="I43" s="1194"/>
      <c r="J43" s="1194"/>
      <c r="K43" s="1194"/>
      <c r="L43" s="1237"/>
      <c r="M43" s="1537"/>
      <c r="N43" s="1537"/>
      <c r="O43" s="1537"/>
      <c r="P43" s="1891"/>
      <c r="Q43" s="1338"/>
      <c r="R43" s="290"/>
      <c r="S43" s="1880" t="str">
        <f>INDEX(PT_DIFFERENTIATION_NUM_TER,MATCH(B43,PT_DIFFERENTIATION_TER_ID,0))</f>
        <v>.</v>
      </c>
      <c r="T43" s="1449" t="s">
        <v>404</v>
      </c>
      <c r="U43" s="238"/>
      <c r="V43" s="2463"/>
      <c r="W43" s="2463"/>
      <c r="X43" s="2463"/>
      <c r="Y43" s="2463"/>
      <c r="Z43" s="2463"/>
      <c r="AA43" s="2464"/>
      <c r="AB43" s="1874"/>
      <c r="AC43" s="2463" t="str">
        <f>INDEX(PT_DIFFERENTIATION_TER,MATCH(B43,PT_DIFFERENTIATION_TER_ID,0))</f>
        <v/>
      </c>
      <c r="AD43" s="2463"/>
      <c r="AE43" s="2463"/>
      <c r="AF43" s="2463"/>
      <c r="AG43" s="2463"/>
      <c r="AH43" s="2463"/>
      <c r="AI43" s="2463"/>
      <c r="AJ43" s="2464"/>
      <c r="AK43" s="1185" t="s">
        <v>405</v>
      </c>
      <c r="AM43" s="1551"/>
      <c r="AN43" s="1551" t="str">
        <f t="shared" si="1"/>
        <v>Территория действия тарифа</v>
      </c>
      <c r="AO43" s="1551"/>
      <c r="AP43" s="1551"/>
      <c r="AQ43" s="1558">
        <v>21</v>
      </c>
    </row>
    <row r="44" spans="1:43" ht="24" customHeight="1">
      <c r="A44" s="1194" t="s">
        <v>213</v>
      </c>
      <c r="B44" s="1194" t="s">
        <v>214</v>
      </c>
      <c r="C44" s="1194" t="s">
        <v>215</v>
      </c>
      <c r="D44" s="1194"/>
      <c r="E44" s="2505"/>
      <c r="F44" s="2505"/>
      <c r="G44" s="2504">
        <v>1</v>
      </c>
      <c r="H44" s="1194"/>
      <c r="I44" s="1194"/>
      <c r="J44" s="1194"/>
      <c r="K44" s="1194"/>
      <c r="L44" s="1237"/>
      <c r="M44" s="1537"/>
      <c r="N44" s="1537"/>
      <c r="O44" s="1537"/>
      <c r="P44" s="1339"/>
      <c r="Q44" s="1338"/>
      <c r="R44" s="290"/>
      <c r="S44" s="1880" t="str">
        <f>INDEX(PT_DIFFERENTIATION_NUM_CS,MATCH(C44,PT_DIFFERENTIATION_CS_ID,0))</f>
        <v>..</v>
      </c>
      <c r="T44" s="247" t="s">
        <v>406</v>
      </c>
      <c r="U44" s="238"/>
      <c r="V44" s="2463"/>
      <c r="W44" s="2463"/>
      <c r="X44" s="2463"/>
      <c r="Y44" s="2463"/>
      <c r="Z44" s="2463"/>
      <c r="AA44" s="2464"/>
      <c r="AB44" s="1874"/>
      <c r="AC44" s="2463" t="str">
        <f>INDEX(PT_DIFFERENTIATION_CS,MATCH(C44,PT_DIFFERENTIATION_CS_ID,0))</f>
        <v/>
      </c>
      <c r="AD44" s="2463"/>
      <c r="AE44" s="2463"/>
      <c r="AF44" s="2463"/>
      <c r="AG44" s="2463"/>
      <c r="AH44" s="2463"/>
      <c r="AI44" s="2463"/>
      <c r="AJ44" s="2464"/>
      <c r="AK44" s="1185" t="s">
        <v>407</v>
      </c>
      <c r="AM44" s="1551"/>
      <c r="AN44" s="1551" t="str">
        <f t="shared" si="1"/>
        <v xml:space="preserve">Наименование системы теплоснабжения </v>
      </c>
      <c r="AO44" s="1551"/>
      <c r="AP44" s="1551"/>
      <c r="AQ44" s="1558">
        <v>23</v>
      </c>
    </row>
    <row r="45" spans="1:43" ht="21.95" customHeight="1">
      <c r="A45" s="1194" t="s">
        <v>213</v>
      </c>
      <c r="B45" s="1194" t="s">
        <v>214</v>
      </c>
      <c r="C45" s="1194" t="s">
        <v>215</v>
      </c>
      <c r="D45" s="1194" t="s">
        <v>216</v>
      </c>
      <c r="E45" s="2505"/>
      <c r="F45" s="2505"/>
      <c r="G45" s="2505"/>
      <c r="H45" s="2504">
        <v>1</v>
      </c>
      <c r="I45" s="1194"/>
      <c r="J45" s="1194"/>
      <c r="K45" s="1194"/>
      <c r="L45" s="1237"/>
      <c r="M45" s="1537"/>
      <c r="N45" s="1537"/>
      <c r="O45" s="1537"/>
      <c r="P45" s="1339"/>
      <c r="Q45" s="1338"/>
      <c r="R45" s="290"/>
      <c r="S45" s="1880" t="str">
        <f>INDEX(PT_DIFFERENTIATION_NUM_IST_TE,MATCH(D45,PT_DIFFERENTIATION_IST_TE_ID,0))</f>
        <v>...</v>
      </c>
      <c r="T45" s="248" t="s">
        <v>408</v>
      </c>
      <c r="U45" s="238"/>
      <c r="V45" s="2463"/>
      <c r="W45" s="2463"/>
      <c r="X45" s="2463"/>
      <c r="Y45" s="2463"/>
      <c r="Z45" s="2463"/>
      <c r="AA45" s="2464"/>
      <c r="AB45" s="1874"/>
      <c r="AC45" s="2463" t="str">
        <f>INDEX(PT_DIFFERENTIATION_IST_TE,MATCH(D45,PT_DIFFERENTIATION_IST_TE_ID,0))</f>
        <v/>
      </c>
      <c r="AD45" s="2463"/>
      <c r="AE45" s="2463"/>
      <c r="AF45" s="2463"/>
      <c r="AG45" s="2463"/>
      <c r="AH45" s="2463"/>
      <c r="AI45" s="2463"/>
      <c r="AJ45" s="2464"/>
      <c r="AK45" s="1185" t="s">
        <v>409</v>
      </c>
      <c r="AM45" s="1551"/>
      <c r="AN45" s="1551" t="str">
        <f t="shared" si="1"/>
        <v xml:space="preserve">Источник тепловой энергии  </v>
      </c>
      <c r="AO45" s="1551"/>
      <c r="AP45" s="1551"/>
      <c r="AQ45" s="1558">
        <v>21</v>
      </c>
    </row>
    <row r="46" spans="1:43" s="1569" customFormat="1" ht="0" hidden="1" customHeight="1">
      <c r="A46" s="1302" t="s">
        <v>213</v>
      </c>
      <c r="B46" s="1302" t="s">
        <v>214</v>
      </c>
      <c r="C46" s="1302" t="s">
        <v>215</v>
      </c>
      <c r="D46" s="1302" t="s">
        <v>216</v>
      </c>
      <c r="E46" s="2505"/>
      <c r="F46" s="2505"/>
      <c r="G46" s="2505"/>
      <c r="H46" s="2505"/>
      <c r="I46" s="2332" t="str">
        <f>S45&amp;".1"</f>
        <v>....1</v>
      </c>
      <c r="J46" s="1302"/>
      <c r="K46" s="1302"/>
      <c r="L46" s="1308" t="s">
        <v>410</v>
      </c>
      <c r="M46" s="1173"/>
      <c r="N46" s="1173"/>
      <c r="O46" s="1173"/>
      <c r="P46" s="2472">
        <v>1</v>
      </c>
      <c r="Q46" s="1876"/>
      <c r="R46" s="293"/>
      <c r="S46" s="972"/>
      <c r="T46" s="1310"/>
      <c r="U46" s="1311"/>
      <c r="V46" s="2510"/>
      <c r="W46" s="2510"/>
      <c r="X46" s="2510"/>
      <c r="Y46" s="2510"/>
      <c r="Z46" s="2510"/>
      <c r="AA46" s="2511"/>
      <c r="AB46" s="1882"/>
      <c r="AC46" s="2510"/>
      <c r="AD46" s="2510"/>
      <c r="AE46" s="2510"/>
      <c r="AF46" s="2510"/>
      <c r="AG46" s="2510"/>
      <c r="AH46" s="2510"/>
      <c r="AI46" s="2510"/>
      <c r="AJ46" s="2511"/>
      <c r="AK46" s="1312"/>
      <c r="AM46" s="1551"/>
      <c r="AN46" s="1551" t="str">
        <f t="shared" si="1"/>
        <v/>
      </c>
      <c r="AO46" s="1551"/>
      <c r="AP46" s="1551"/>
      <c r="AQ46" s="1563">
        <v>0</v>
      </c>
    </row>
    <row r="47" spans="1:43" s="1569" customFormat="1" ht="0" hidden="1" customHeight="1">
      <c r="A47" s="1302" t="s">
        <v>213</v>
      </c>
      <c r="B47" s="1302" t="s">
        <v>214</v>
      </c>
      <c r="C47" s="1302" t="s">
        <v>215</v>
      </c>
      <c r="D47" s="1302" t="s">
        <v>216</v>
      </c>
      <c r="E47" s="2505"/>
      <c r="F47" s="2505"/>
      <c r="G47" s="2505"/>
      <c r="H47" s="2505"/>
      <c r="I47" s="2314"/>
      <c r="J47" s="2332" t="str">
        <f>S45&amp;".1"</f>
        <v>....1</v>
      </c>
      <c r="K47" s="1302"/>
      <c r="L47" s="1308"/>
      <c r="M47" s="1173"/>
      <c r="N47" s="1173"/>
      <c r="O47" s="1173"/>
      <c r="P47" s="2472"/>
      <c r="Q47" s="2472">
        <v>1</v>
      </c>
      <c r="R47" s="294"/>
      <c r="S47" s="972"/>
      <c r="T47" s="1326"/>
      <c r="U47" s="1311"/>
      <c r="V47" s="2510"/>
      <c r="W47" s="2510"/>
      <c r="X47" s="2510"/>
      <c r="Y47" s="2510"/>
      <c r="Z47" s="2510"/>
      <c r="AA47" s="2511"/>
      <c r="AB47" s="1882"/>
      <c r="AC47" s="2510"/>
      <c r="AD47" s="2510"/>
      <c r="AE47" s="2510"/>
      <c r="AF47" s="2510"/>
      <c r="AG47" s="2510"/>
      <c r="AH47" s="2510"/>
      <c r="AI47" s="2510"/>
      <c r="AJ47" s="2511"/>
      <c r="AK47" s="1312"/>
      <c r="AM47" s="1551"/>
      <c r="AN47" s="1551" t="str">
        <f t="shared" si="1"/>
        <v/>
      </c>
      <c r="AO47" s="1551"/>
      <c r="AP47" s="1551"/>
      <c r="AQ47" s="1563">
        <v>0</v>
      </c>
    </row>
    <row r="48" spans="1:43" ht="21.95" customHeight="1">
      <c r="A48" s="1194" t="s">
        <v>213</v>
      </c>
      <c r="B48" s="1194" t="s">
        <v>214</v>
      </c>
      <c r="C48" s="1194" t="s">
        <v>215</v>
      </c>
      <c r="D48" s="1194" t="s">
        <v>216</v>
      </c>
      <c r="E48" s="2505"/>
      <c r="F48" s="2505"/>
      <c r="G48" s="2505"/>
      <c r="H48" s="2505"/>
      <c r="I48" s="2314"/>
      <c r="J48" s="2314"/>
      <c r="K48" s="1863" t="str">
        <f>S45&amp;".1"</f>
        <v>....1</v>
      </c>
      <c r="L48" s="1237"/>
      <c r="P48" s="2472"/>
      <c r="Q48" s="2472"/>
      <c r="R48" s="294">
        <v>1</v>
      </c>
      <c r="S48" s="1884" t="str">
        <f>$K48</f>
        <v>....1</v>
      </c>
      <c r="T48" s="1883"/>
      <c r="U48" s="238"/>
      <c r="V48" s="688"/>
      <c r="W48" s="1184"/>
      <c r="X48" s="1877"/>
      <c r="Y48" s="1864" t="s">
        <v>67</v>
      </c>
      <c r="Z48" s="1877"/>
      <c r="AA48" s="1864" t="s">
        <v>67</v>
      </c>
      <c r="AB48" s="1886"/>
      <c r="AC48" s="1885" t="s">
        <v>28</v>
      </c>
      <c r="AD48" s="688"/>
      <c r="AE48" s="1184"/>
      <c r="AF48" s="1877"/>
      <c r="AG48" s="1864" t="s">
        <v>67</v>
      </c>
      <c r="AH48" s="1877"/>
      <c r="AI48" s="1864" t="s">
        <v>67</v>
      </c>
      <c r="AJ48" s="1275"/>
      <c r="AK48" s="2491" t="s">
        <v>489</v>
      </c>
      <c r="AL48" s="1563" t="e">
        <f ca="1">STRCHECKDATE(#REF!)</f>
        <v>#NAME?</v>
      </c>
      <c r="AM48" s="1551"/>
      <c r="AN48" s="1551" t="str">
        <f t="shared" si="1"/>
        <v/>
      </c>
      <c r="AO48" s="1551"/>
      <c r="AP48" s="1551"/>
      <c r="AQ48" s="1558">
        <v>21</v>
      </c>
    </row>
    <row r="49" spans="1:43" ht="11.45" customHeight="1">
      <c r="A49" s="1194" t="s">
        <v>213</v>
      </c>
      <c r="B49" s="1194" t="s">
        <v>214</v>
      </c>
      <c r="C49" s="1194" t="s">
        <v>215</v>
      </c>
      <c r="D49" s="1194" t="s">
        <v>216</v>
      </c>
      <c r="E49" s="2505"/>
      <c r="F49" s="2505"/>
      <c r="G49" s="2505"/>
      <c r="H49" s="2505"/>
      <c r="I49" s="2314"/>
      <c r="J49" s="2332"/>
      <c r="K49" s="1194"/>
      <c r="L49" s="1237"/>
      <c r="P49" s="2472"/>
      <c r="Q49" s="2472"/>
      <c r="R49" s="293"/>
      <c r="S49" s="1205"/>
      <c r="T49" s="225" t="s">
        <v>477</v>
      </c>
      <c r="U49" s="537"/>
      <c r="V49" s="537"/>
      <c r="W49" s="537"/>
      <c r="X49" s="537"/>
      <c r="Y49" s="537"/>
      <c r="Z49" s="537"/>
      <c r="AA49" s="262"/>
      <c r="AB49" s="537"/>
      <c r="AC49" s="537"/>
      <c r="AD49" s="537"/>
      <c r="AE49" s="537"/>
      <c r="AF49" s="537"/>
      <c r="AG49" s="537"/>
      <c r="AH49" s="537"/>
      <c r="AI49" s="537"/>
      <c r="AJ49" s="262"/>
      <c r="AK49" s="2493"/>
      <c r="AM49" s="1551"/>
      <c r="AN49" s="1551" t="str">
        <f t="shared" si="1"/>
        <v>Добавить строку</v>
      </c>
      <c r="AO49" s="1551"/>
      <c r="AP49" s="1551"/>
      <c r="AQ49" s="1558">
        <v>11</v>
      </c>
    </row>
    <row r="50" spans="1:43" s="1569" customFormat="1" ht="1.1499999999999999" customHeight="1">
      <c r="A50" s="1302" t="s">
        <v>213</v>
      </c>
      <c r="B50" s="1302" t="s">
        <v>214</v>
      </c>
      <c r="C50" s="1302" t="s">
        <v>215</v>
      </c>
      <c r="D50" s="1302" t="s">
        <v>216</v>
      </c>
      <c r="E50" s="2505"/>
      <c r="F50" s="2505"/>
      <c r="G50" s="2505"/>
      <c r="H50" s="2505"/>
      <c r="I50" s="2332"/>
      <c r="J50" s="1302"/>
      <c r="K50" s="1302"/>
      <c r="L50" s="1308"/>
      <c r="M50" s="1173"/>
      <c r="N50" s="1173"/>
      <c r="O50" s="1173"/>
      <c r="P50" s="2472"/>
      <c r="Q50" s="1876"/>
      <c r="R50" s="293"/>
      <c r="S50" s="1313"/>
      <c r="T50" s="1314" t="s">
        <v>419</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213</v>
      </c>
      <c r="B51" s="1302" t="s">
        <v>214</v>
      </c>
      <c r="C51" s="1302" t="s">
        <v>215</v>
      </c>
      <c r="D51" s="1302" t="s">
        <v>216</v>
      </c>
      <c r="E51" s="2505"/>
      <c r="F51" s="2505"/>
      <c r="G51" s="2505"/>
      <c r="H51" s="2504"/>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213</v>
      </c>
      <c r="B52" s="1302" t="s">
        <v>214</v>
      </c>
      <c r="C52" s="1302" t="s">
        <v>215</v>
      </c>
      <c r="D52" s="1301"/>
      <c r="E52" s="2505"/>
      <c r="F52" s="2505"/>
      <c r="G52" s="2504"/>
      <c r="H52" s="1301"/>
      <c r="I52" s="1301"/>
      <c r="J52" s="1301"/>
      <c r="K52" s="1301"/>
      <c r="L52" s="1304"/>
      <c r="M52" s="1305"/>
      <c r="N52" s="1305"/>
      <c r="O52" s="288"/>
      <c r="P52" s="1243"/>
      <c r="Q52" s="1244"/>
      <c r="R52" s="1243"/>
      <c r="S52" s="1249"/>
      <c r="T52" s="1252" t="s">
        <v>169</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213</v>
      </c>
      <c r="B53" s="1302" t="s">
        <v>214</v>
      </c>
      <c r="C53" s="1301"/>
      <c r="D53" s="1301"/>
      <c r="E53" s="2505"/>
      <c r="F53" s="2504"/>
      <c r="G53" s="1301"/>
      <c r="H53" s="1301"/>
      <c r="I53" s="1301"/>
      <c r="J53" s="1301"/>
      <c r="K53" s="1301"/>
      <c r="L53" s="1304"/>
      <c r="M53" s="1306"/>
      <c r="N53" s="1306"/>
      <c r="O53" s="288"/>
      <c r="P53" s="1243"/>
      <c r="Q53" s="1244"/>
      <c r="R53" s="1243"/>
      <c r="S53" s="1249"/>
      <c r="T53" s="1252" t="s">
        <v>170</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213</v>
      </c>
      <c r="B54" s="1302"/>
      <c r="C54" s="1302"/>
      <c r="D54" s="1302"/>
      <c r="E54" s="2505"/>
      <c r="F54" s="1302"/>
      <c r="G54" s="1302"/>
      <c r="H54" s="1302"/>
      <c r="I54" s="1302"/>
      <c r="J54" s="1302"/>
      <c r="K54" s="1302"/>
      <c r="L54" s="1308"/>
      <c r="M54" s="1306"/>
      <c r="N54" s="1306"/>
      <c r="O54" s="288"/>
      <c r="P54" s="317"/>
      <c r="Q54" s="1271"/>
      <c r="R54" s="317"/>
      <c r="S54" s="1249"/>
      <c r="T54" s="1252" t="s">
        <v>171</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213</v>
      </c>
      <c r="B55" s="1302"/>
      <c r="C55" s="1302"/>
      <c r="D55" s="1302"/>
      <c r="E55" s="2504"/>
      <c r="F55" s="1302"/>
      <c r="G55" s="1302"/>
      <c r="H55" s="1302"/>
      <c r="I55" s="1302"/>
      <c r="J55" s="1302"/>
      <c r="K55" s="1302"/>
      <c r="L55" s="1308"/>
      <c r="M55" s="1306"/>
      <c r="N55" s="1306"/>
      <c r="O55" s="288"/>
      <c r="P55" s="317"/>
      <c r="Q55" s="1271"/>
      <c r="R55" s="317"/>
      <c r="S55" s="1249"/>
      <c r="T55" s="1252" t="s">
        <v>171</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172</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467"/>
      <c r="U58" s="2467"/>
      <c r="V58" s="2467"/>
      <c r="W58" s="2467"/>
      <c r="X58" s="2467"/>
      <c r="Y58" s="2467"/>
      <c r="Z58" s="2467"/>
      <c r="AA58" s="2467"/>
      <c r="AB58" s="2467"/>
      <c r="AC58" s="2467"/>
      <c r="AD58" s="2467"/>
      <c r="AE58" s="2467"/>
      <c r="AF58" s="2467"/>
      <c r="AG58" s="2467"/>
      <c r="AH58" s="2467"/>
      <c r="AI58" s="2467"/>
      <c r="AJ58" s="2467"/>
      <c r="AK58" s="2467"/>
      <c r="AQ58" s="1558">
        <v>19</v>
      </c>
    </row>
    <row r="59" spans="1:43" ht="21" customHeight="1">
      <c r="O59" s="1562"/>
      <c r="T59" s="2467"/>
      <c r="U59" s="2467"/>
      <c r="V59" s="2467"/>
      <c r="W59" s="2467"/>
      <c r="X59" s="2467"/>
      <c r="Y59" s="2467"/>
      <c r="Z59" s="2467"/>
      <c r="AA59" s="2467"/>
      <c r="AB59" s="2467"/>
      <c r="AC59" s="2467"/>
      <c r="AD59" s="2467"/>
      <c r="AE59" s="2467"/>
      <c r="AF59" s="2467"/>
      <c r="AG59" s="2467"/>
      <c r="AH59" s="2467"/>
      <c r="AI59" s="2467"/>
      <c r="AJ59" s="2467"/>
      <c r="AK59" s="2467"/>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467"/>
      <c r="U61" s="2467"/>
      <c r="V61" s="2467"/>
      <c r="W61" s="2467"/>
      <c r="X61" s="2467"/>
      <c r="Y61" s="2467"/>
      <c r="Z61" s="2467"/>
      <c r="AA61" s="2467"/>
      <c r="AB61" s="2467"/>
      <c r="AC61" s="2467"/>
      <c r="AD61" s="2467"/>
      <c r="AE61" s="2467"/>
      <c r="AF61" s="2467"/>
      <c r="AG61" s="2467"/>
      <c r="AH61" s="2467"/>
      <c r="AI61" s="2467"/>
      <c r="AJ61" s="2467"/>
      <c r="AK61" s="2467"/>
      <c r="AQ61" s="1558">
        <v>19</v>
      </c>
    </row>
    <row r="62" spans="1:43" ht="16.899999999999999" customHeight="1">
      <c r="O62" s="1562"/>
      <c r="T62" s="2467"/>
      <c r="U62" s="2467"/>
      <c r="V62" s="2467"/>
      <c r="W62" s="2467"/>
      <c r="X62" s="2467"/>
      <c r="Y62" s="2467"/>
      <c r="Z62" s="2467"/>
      <c r="AA62" s="2467"/>
      <c r="AB62" s="2467"/>
      <c r="AC62" s="2467"/>
      <c r="AD62" s="2467"/>
      <c r="AE62" s="2467"/>
      <c r="AF62" s="2467"/>
      <c r="AG62" s="2467"/>
      <c r="AH62" s="2467"/>
      <c r="AI62" s="2467"/>
      <c r="AJ62" s="2467"/>
      <c r="AK62" s="2467"/>
      <c r="AQ62" s="1558">
        <v>16</v>
      </c>
    </row>
    <row r="63" spans="1:43" ht="14.65" customHeight="1">
      <c r="O63" s="1562"/>
      <c r="AQ63" s="1558">
        <v>14</v>
      </c>
    </row>
    <row r="64" spans="1:43" ht="22.5" hidden="1" customHeight="1">
      <c r="A64" s="1558" t="s">
        <v>83</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8E796-2B3E-1838-4341-3A0A81893F93}">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9"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468">
        <v>1</v>
      </c>
      <c r="F2" s="1290"/>
      <c r="G2" s="1290"/>
      <c r="H2" s="1290"/>
      <c r="I2" s="1290"/>
      <c r="J2" s="1290"/>
      <c r="K2" s="1290"/>
      <c r="L2" s="1291"/>
      <c r="M2" s="1292"/>
      <c r="N2" s="1292"/>
      <c r="O2" s="1292"/>
      <c r="P2" s="1336"/>
      <c r="Q2" s="804"/>
      <c r="R2" s="292"/>
      <c r="S2" s="1392" t="e">
        <f>INDEX(PT_DIFFERENTIATION_NUM_NTAR,MATCH(A2,PT_DIFFERENTIATION_NTAR_ID,0))</f>
        <v>#N/A</v>
      </c>
      <c r="T2" s="236" t="s">
        <v>124</v>
      </c>
      <c r="U2" s="238"/>
      <c r="V2" s="2463"/>
      <c r="W2" s="2463"/>
      <c r="X2" s="2463"/>
      <c r="Y2" s="2463"/>
      <c r="Z2" s="2463"/>
      <c r="AA2" s="2463"/>
      <c r="AB2" s="2463"/>
      <c r="AC2" s="2464"/>
      <c r="AD2" s="2462" t="e">
        <f>INDEX(PT_DIFFERENTIATION_NTAR,MATCH(A2,PT_DIFFERENTIATION_NTAR_ID,0))</f>
        <v>#N/A</v>
      </c>
      <c r="AE2" s="2463"/>
      <c r="AF2" s="2463"/>
      <c r="AG2" s="2463"/>
      <c r="AH2" s="2463"/>
      <c r="AI2" s="2463"/>
      <c r="AJ2" s="2463"/>
      <c r="AK2" s="2463"/>
      <c r="AL2" s="2463"/>
      <c r="AM2" s="2463"/>
      <c r="AN2" s="2463"/>
      <c r="AO2" s="2463"/>
      <c r="AP2" s="2463"/>
      <c r="AQ2" s="2463"/>
      <c r="AR2" s="2463"/>
      <c r="AS2" s="2463"/>
      <c r="AT2" s="2463"/>
      <c r="AU2" s="2463"/>
      <c r="AV2" s="2463"/>
      <c r="AW2" s="2463"/>
      <c r="AX2" s="2463"/>
      <c r="AY2" s="2463"/>
      <c r="AZ2" s="2463"/>
      <c r="BA2" s="2463"/>
      <c r="BB2" s="2464"/>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469"/>
      <c r="F3" s="2468">
        <v>1</v>
      </c>
      <c r="G3" s="1290"/>
      <c r="H3" s="1290"/>
      <c r="I3" s="1290"/>
      <c r="J3" s="1290"/>
      <c r="K3" s="1290"/>
      <c r="L3" s="1291"/>
      <c r="M3" s="1292"/>
      <c r="N3" s="1292"/>
      <c r="O3" s="1292"/>
      <c r="P3" s="1337"/>
      <c r="Q3" s="1338"/>
      <c r="R3" s="290"/>
      <c r="S3" s="1392" t="e">
        <f>INDEX(PT_DIFFERENTIATION_NUM_TER,MATCH(B3,PT_DIFFERENTIATION_TER_ID,0))</f>
        <v>#N/A</v>
      </c>
      <c r="T3" s="246" t="s">
        <v>404</v>
      </c>
      <c r="U3" s="238"/>
      <c r="V3" s="2463"/>
      <c r="W3" s="2463"/>
      <c r="X3" s="2463"/>
      <c r="Y3" s="2463"/>
      <c r="Z3" s="2463"/>
      <c r="AA3" s="2463"/>
      <c r="AB3" s="2463"/>
      <c r="AC3" s="2464"/>
      <c r="AD3" s="2462" t="e">
        <f>INDEX(PT_DIFFERENTIATION_TER,MATCH(B3,PT_DIFFERENTIATION_TER_ID,0))</f>
        <v>#N/A</v>
      </c>
      <c r="AE3" s="2463"/>
      <c r="AF3" s="2463"/>
      <c r="AG3" s="2463"/>
      <c r="AH3" s="2463"/>
      <c r="AI3" s="2463"/>
      <c r="AJ3" s="2463"/>
      <c r="AK3" s="2463"/>
      <c r="AL3" s="2463"/>
      <c r="AM3" s="2463"/>
      <c r="AN3" s="2463"/>
      <c r="AO3" s="2463"/>
      <c r="AP3" s="2463"/>
      <c r="AQ3" s="2463"/>
      <c r="AR3" s="2463"/>
      <c r="AS3" s="2463"/>
      <c r="AT3" s="2463"/>
      <c r="AU3" s="2463"/>
      <c r="AV3" s="2463"/>
      <c r="AW3" s="2463"/>
      <c r="AX3" s="2463"/>
      <c r="AY3" s="2463"/>
      <c r="AZ3" s="2463"/>
      <c r="BA3" s="2463"/>
      <c r="BB3" s="2464"/>
      <c r="BC3" s="1185" t="s">
        <v>405</v>
      </c>
      <c r="BE3" s="437"/>
      <c r="BF3" s="437" t="str">
        <f t="shared" si="0"/>
        <v>Территория действия тарифа</v>
      </c>
      <c r="BG3" s="437"/>
      <c r="BH3" s="437"/>
      <c r="BI3" s="1082">
        <v>0</v>
      </c>
    </row>
    <row r="4" spans="1:61" ht="42" hidden="1" customHeight="1">
      <c r="A4" s="1290"/>
      <c r="B4" s="1290"/>
      <c r="C4" s="1290"/>
      <c r="D4" s="1290"/>
      <c r="E4" s="2469"/>
      <c r="F4" s="2469"/>
      <c r="G4" s="2468">
        <v>1</v>
      </c>
      <c r="H4" s="1290"/>
      <c r="I4" s="1290"/>
      <c r="J4" s="1290"/>
      <c r="K4" s="1290"/>
      <c r="L4" s="1291"/>
      <c r="M4" s="1292"/>
      <c r="N4" s="1292"/>
      <c r="O4" s="1292"/>
      <c r="P4" s="1339"/>
      <c r="Q4" s="1338"/>
      <c r="R4" s="290"/>
      <c r="S4" s="1392" t="e">
        <f>INDEX(PT_DIFFERENTIATION_NUM_CS,MATCH(C4,PT_DIFFERENTIATION_CS_ID,0))</f>
        <v>#N/A</v>
      </c>
      <c r="T4" s="247" t="s">
        <v>490</v>
      </c>
      <c r="U4" s="238"/>
      <c r="V4" s="2463"/>
      <c r="W4" s="2463"/>
      <c r="X4" s="2463"/>
      <c r="Y4" s="2463"/>
      <c r="Z4" s="2463"/>
      <c r="AA4" s="2463"/>
      <c r="AB4" s="2463"/>
      <c r="AC4" s="2464"/>
      <c r="AD4" s="2462" t="e">
        <f>INDEX(PT_DIFFERENTIATION_CS,MATCH(C4,PT_DIFFERENTIATION_CS_ID,0))</f>
        <v>#N/A</v>
      </c>
      <c r="AE4" s="2463"/>
      <c r="AF4" s="2463"/>
      <c r="AG4" s="2463"/>
      <c r="AH4" s="2463"/>
      <c r="AI4" s="2463"/>
      <c r="AJ4" s="2463"/>
      <c r="AK4" s="2463"/>
      <c r="AL4" s="2463"/>
      <c r="AM4" s="2463"/>
      <c r="AN4" s="2463"/>
      <c r="AO4" s="2463"/>
      <c r="AP4" s="2463"/>
      <c r="AQ4" s="2463"/>
      <c r="AR4" s="2463"/>
      <c r="AS4" s="2463"/>
      <c r="AT4" s="2463"/>
      <c r="AU4" s="2463"/>
      <c r="AV4" s="2463"/>
      <c r="AW4" s="2463"/>
      <c r="AX4" s="2463"/>
      <c r="AY4" s="2463"/>
      <c r="AZ4" s="2463"/>
      <c r="BA4" s="2463"/>
      <c r="BB4" s="2464"/>
      <c r="BC4" s="1185" t="s">
        <v>491</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469"/>
      <c r="F5" s="2469"/>
      <c r="G5" s="2469"/>
      <c r="H5" s="2468">
        <v>1</v>
      </c>
      <c r="I5" s="1270"/>
      <c r="J5" s="1270"/>
      <c r="K5" s="1270"/>
      <c r="L5" s="1273"/>
      <c r="M5" s="1242"/>
      <c r="N5" s="1242"/>
      <c r="O5" s="1242"/>
      <c r="P5" s="1424"/>
      <c r="Q5" s="1425"/>
      <c r="R5" s="294"/>
      <c r="S5" s="972"/>
      <c r="T5" s="1426"/>
      <c r="U5" s="1311"/>
      <c r="V5" s="2510"/>
      <c r="W5" s="2510"/>
      <c r="X5" s="2510"/>
      <c r="Y5" s="2510"/>
      <c r="Z5" s="2510"/>
      <c r="AA5" s="2510"/>
      <c r="AB5" s="2510"/>
      <c r="AC5" s="2511"/>
      <c r="AD5" s="2509"/>
      <c r="AE5" s="2510"/>
      <c r="AF5" s="2510"/>
      <c r="AG5" s="2510"/>
      <c r="AH5" s="2510"/>
      <c r="AI5" s="2510"/>
      <c r="AJ5" s="2510"/>
      <c r="AK5" s="2510"/>
      <c r="AL5" s="2510"/>
      <c r="AM5" s="2510"/>
      <c r="AN5" s="2510"/>
      <c r="AO5" s="2510"/>
      <c r="AP5" s="2510"/>
      <c r="AQ5" s="2510"/>
      <c r="AR5" s="2510"/>
      <c r="AS5" s="2510"/>
      <c r="AT5" s="2510"/>
      <c r="AU5" s="2510"/>
      <c r="AV5" s="2510"/>
      <c r="AW5" s="2510"/>
      <c r="AX5" s="2510"/>
      <c r="AY5" s="2510"/>
      <c r="AZ5" s="2510"/>
      <c r="BA5" s="2510"/>
      <c r="BB5" s="2511"/>
      <c r="BC5" s="1312" t="s">
        <v>409</v>
      </c>
      <c r="BE5" s="437"/>
      <c r="BF5" s="437" t="str">
        <f t="shared" si="0"/>
        <v/>
      </c>
      <c r="BG5" s="437"/>
      <c r="BH5" s="437"/>
      <c r="BI5" s="448">
        <v>0</v>
      </c>
    </row>
    <row r="6" spans="1:61" s="1569" customFormat="1" ht="14.25" hidden="1" customHeight="1">
      <c r="A6" s="1270"/>
      <c r="B6" s="1270"/>
      <c r="C6" s="1270"/>
      <c r="D6" s="1270"/>
      <c r="E6" s="2469"/>
      <c r="F6" s="2469"/>
      <c r="G6" s="2469"/>
      <c r="H6" s="2469"/>
      <c r="I6" s="2470" t="str">
        <f>S5&amp;".1"</f>
        <v>.1</v>
      </c>
      <c r="J6" s="1270"/>
      <c r="K6" s="1270"/>
      <c r="L6" s="1273" t="s">
        <v>410</v>
      </c>
      <c r="M6" s="447"/>
      <c r="N6" s="447"/>
      <c r="O6" s="447"/>
      <c r="P6" s="2472">
        <v>1</v>
      </c>
      <c r="Q6" s="1389"/>
      <c r="R6" s="293"/>
      <c r="S6" s="972"/>
      <c r="T6" s="1310"/>
      <c r="U6" s="1311"/>
      <c r="V6" s="2510"/>
      <c r="W6" s="2510"/>
      <c r="X6" s="2510"/>
      <c r="Y6" s="2510"/>
      <c r="Z6" s="2510"/>
      <c r="AA6" s="2510"/>
      <c r="AB6" s="2510"/>
      <c r="AC6" s="2511"/>
      <c r="AD6" s="2509"/>
      <c r="AE6" s="2510"/>
      <c r="AF6" s="2510"/>
      <c r="AG6" s="2510"/>
      <c r="AH6" s="2510"/>
      <c r="AI6" s="2510"/>
      <c r="AJ6" s="2510"/>
      <c r="AK6" s="2510"/>
      <c r="AL6" s="2510"/>
      <c r="AM6" s="2510"/>
      <c r="AN6" s="2510"/>
      <c r="AO6" s="2510"/>
      <c r="AP6" s="2510"/>
      <c r="AQ6" s="2510"/>
      <c r="AR6" s="2510"/>
      <c r="AS6" s="2510"/>
      <c r="AT6" s="2510"/>
      <c r="AU6" s="2510"/>
      <c r="AV6" s="2510"/>
      <c r="AW6" s="2510"/>
      <c r="AX6" s="2510"/>
      <c r="AY6" s="2510"/>
      <c r="AZ6" s="2510"/>
      <c r="BA6" s="2510"/>
      <c r="BB6" s="2511"/>
      <c r="BC6" s="1312"/>
      <c r="BE6" s="437"/>
      <c r="BF6" s="437" t="str">
        <f t="shared" si="0"/>
        <v/>
      </c>
      <c r="BG6" s="437"/>
      <c r="BH6" s="437"/>
      <c r="BI6" s="448">
        <v>0</v>
      </c>
    </row>
    <row r="7" spans="1:61" s="1569" customFormat="1" ht="14.25" hidden="1" customHeight="1">
      <c r="A7" s="1270"/>
      <c r="B7" s="1270"/>
      <c r="C7" s="1270"/>
      <c r="D7" s="1270"/>
      <c r="E7" s="2469"/>
      <c r="F7" s="2469"/>
      <c r="G7" s="2469"/>
      <c r="H7" s="2469"/>
      <c r="I7" s="2471"/>
      <c r="J7" s="2470" t="str">
        <f>S5&amp;".1"</f>
        <v>.1</v>
      </c>
      <c r="K7" s="1270"/>
      <c r="L7" s="1273"/>
      <c r="M7" s="447"/>
      <c r="N7" s="447"/>
      <c r="O7" s="447"/>
      <c r="P7" s="2472"/>
      <c r="Q7" s="2472">
        <v>1</v>
      </c>
      <c r="R7" s="294"/>
      <c r="S7" s="972"/>
      <c r="T7" s="1326"/>
      <c r="U7" s="1311"/>
      <c r="V7" s="2510"/>
      <c r="W7" s="2510"/>
      <c r="X7" s="2510"/>
      <c r="Y7" s="2510"/>
      <c r="Z7" s="2510"/>
      <c r="AA7" s="2510"/>
      <c r="AB7" s="2510"/>
      <c r="AC7" s="2511"/>
      <c r="AD7" s="2509"/>
      <c r="AE7" s="2510"/>
      <c r="AF7" s="2510"/>
      <c r="AG7" s="2510"/>
      <c r="AH7" s="2510"/>
      <c r="AI7" s="2510"/>
      <c r="AJ7" s="2510"/>
      <c r="AK7" s="2510"/>
      <c r="AL7" s="2510"/>
      <c r="AM7" s="2510"/>
      <c r="AN7" s="2510"/>
      <c r="AO7" s="2510"/>
      <c r="AP7" s="2510"/>
      <c r="AQ7" s="2510"/>
      <c r="AR7" s="2510"/>
      <c r="AS7" s="2510"/>
      <c r="AT7" s="2510"/>
      <c r="AU7" s="2510"/>
      <c r="AV7" s="2510"/>
      <c r="AW7" s="2510"/>
      <c r="AX7" s="2510"/>
      <c r="AY7" s="2510"/>
      <c r="AZ7" s="2510"/>
      <c r="BA7" s="2510"/>
      <c r="BB7" s="2511"/>
      <c r="BC7" s="1312"/>
      <c r="BE7" s="437"/>
      <c r="BF7" s="437" t="str">
        <f t="shared" si="0"/>
        <v/>
      </c>
      <c r="BG7" s="437"/>
      <c r="BH7" s="437"/>
      <c r="BI7" s="448">
        <v>0</v>
      </c>
    </row>
    <row r="8" spans="1:61" ht="11.25" hidden="1" customHeight="1">
      <c r="A8" s="1290"/>
      <c r="B8" s="1290"/>
      <c r="C8" s="1290"/>
      <c r="D8" s="1290"/>
      <c r="E8" s="2469"/>
      <c r="F8" s="2469"/>
      <c r="G8" s="2469"/>
      <c r="H8" s="2469"/>
      <c r="I8" s="2471"/>
      <c r="J8" s="2471"/>
      <c r="K8" s="2470" t="e">
        <f>S4&amp;".1"</f>
        <v>#N/A</v>
      </c>
      <c r="L8" s="1291"/>
      <c r="P8" s="2472"/>
      <c r="Q8" s="2472"/>
      <c r="R8" s="2541">
        <v>1</v>
      </c>
      <c r="S8" s="2538" t="e">
        <f>$K8</f>
        <v>#N/A</v>
      </c>
      <c r="T8" s="2558"/>
      <c r="U8" s="238"/>
      <c r="V8" s="688"/>
      <c r="W8" s="1184"/>
      <c r="X8" s="688"/>
      <c r="Y8" s="1184"/>
      <c r="Z8" s="1660"/>
      <c r="AA8" s="1386" t="s">
        <v>67</v>
      </c>
      <c r="AB8" s="1660"/>
      <c r="AC8" s="1386" t="s">
        <v>67</v>
      </c>
      <c r="AD8" s="2392" t="s">
        <v>67</v>
      </c>
      <c r="AE8" s="2534"/>
      <c r="AF8" s="2425">
        <v>1</v>
      </c>
      <c r="AG8" s="2557"/>
      <c r="AH8" s="2342" t="s">
        <v>67</v>
      </c>
      <c r="AI8" s="2534"/>
      <c r="AJ8" s="2425">
        <v>1</v>
      </c>
      <c r="AK8" s="2548" t="s">
        <v>28</v>
      </c>
      <c r="AL8" s="2342" t="s">
        <v>67</v>
      </c>
      <c r="AM8" s="2402"/>
      <c r="AN8" s="2425">
        <v>1</v>
      </c>
      <c r="AO8" s="2561"/>
      <c r="AP8" s="2562" t="s">
        <v>67</v>
      </c>
      <c r="AQ8" s="249"/>
      <c r="AR8" s="1390">
        <v>1</v>
      </c>
      <c r="AS8" s="1393" t="s">
        <v>28</v>
      </c>
      <c r="AT8" s="688"/>
      <c r="AU8" s="1184"/>
      <c r="AV8" s="688"/>
      <c r="AW8" s="1184"/>
      <c r="AX8" s="1660"/>
      <c r="AY8" s="1386" t="s">
        <v>67</v>
      </c>
      <c r="AZ8" s="1660"/>
      <c r="BA8" s="1386" t="s">
        <v>67</v>
      </c>
      <c r="BB8" s="1275"/>
      <c r="BC8" s="2491" t="s">
        <v>510</v>
      </c>
      <c r="BE8" s="437"/>
      <c r="BF8" s="437" t="str">
        <f t="shared" si="0"/>
        <v/>
      </c>
      <c r="BG8" s="437"/>
      <c r="BH8" s="437"/>
      <c r="BI8" s="1082">
        <v>0</v>
      </c>
    </row>
    <row r="9" spans="1:61" ht="11.25" hidden="1" customHeight="1">
      <c r="A9" s="1290"/>
      <c r="B9" s="1290"/>
      <c r="C9" s="1290"/>
      <c r="D9" s="1290"/>
      <c r="E9" s="2469"/>
      <c r="F9" s="2469"/>
      <c r="G9" s="2469"/>
      <c r="H9" s="2469"/>
      <c r="I9" s="2471"/>
      <c r="J9" s="2471"/>
      <c r="K9" s="2470"/>
      <c r="L9" s="1291"/>
      <c r="P9" s="2472"/>
      <c r="Q9" s="2472"/>
      <c r="R9" s="2541"/>
      <c r="S9" s="2539"/>
      <c r="T9" s="2559"/>
      <c r="U9" s="238"/>
      <c r="V9" s="1320"/>
      <c r="W9" s="1423"/>
      <c r="X9" s="1320"/>
      <c r="Y9" s="1423"/>
      <c r="Z9" s="1320"/>
      <c r="AA9" s="1320"/>
      <c r="AB9" s="1320"/>
      <c r="AC9" s="1320"/>
      <c r="AD9" s="2393"/>
      <c r="AE9" s="2534"/>
      <c r="AF9" s="2425"/>
      <c r="AG9" s="2557"/>
      <c r="AH9" s="2342"/>
      <c r="AI9" s="2534"/>
      <c r="AJ9" s="2425"/>
      <c r="AK9" s="2548"/>
      <c r="AL9" s="2342"/>
      <c r="AM9" s="2407"/>
      <c r="AN9" s="2425"/>
      <c r="AO9" s="2561"/>
      <c r="AP9" s="2563"/>
      <c r="AQ9" s="254"/>
      <c r="AR9" s="353"/>
      <c r="AS9" s="353" t="s">
        <v>511</v>
      </c>
      <c r="AT9" s="1320"/>
      <c r="AU9" s="1423"/>
      <c r="AV9" s="1320"/>
      <c r="AW9" s="1423"/>
      <c r="AX9" s="1320"/>
      <c r="AY9" s="1320"/>
      <c r="AZ9" s="1320"/>
      <c r="BA9" s="1320"/>
      <c r="BB9" s="1324"/>
      <c r="BC9" s="2492"/>
      <c r="BE9" s="437"/>
      <c r="BF9" s="437"/>
      <c r="BG9" s="437"/>
      <c r="BH9" s="437"/>
      <c r="BI9" s="1082">
        <v>0</v>
      </c>
    </row>
    <row r="10" spans="1:61" ht="11.25" hidden="1" customHeight="1">
      <c r="A10" s="1290"/>
      <c r="B10" s="1290"/>
      <c r="C10" s="1290"/>
      <c r="D10" s="1290"/>
      <c r="E10" s="2469"/>
      <c r="F10" s="2469"/>
      <c r="G10" s="2469"/>
      <c r="H10" s="2469"/>
      <c r="I10" s="2471"/>
      <c r="J10" s="2471"/>
      <c r="K10" s="2470"/>
      <c r="L10" s="1291"/>
      <c r="P10" s="2472"/>
      <c r="Q10" s="2472"/>
      <c r="R10" s="2541"/>
      <c r="S10" s="2539"/>
      <c r="T10" s="2559"/>
      <c r="U10" s="238"/>
      <c r="V10" s="1320"/>
      <c r="W10" s="1423"/>
      <c r="X10" s="1320"/>
      <c r="Y10" s="1423"/>
      <c r="Z10" s="1320"/>
      <c r="AA10" s="1320"/>
      <c r="AB10" s="1320"/>
      <c r="AC10" s="1320"/>
      <c r="AD10" s="2393"/>
      <c r="AE10" s="2534"/>
      <c r="AF10" s="2425"/>
      <c r="AG10" s="2557"/>
      <c r="AH10" s="2342"/>
      <c r="AI10" s="2534"/>
      <c r="AJ10" s="2425"/>
      <c r="AK10" s="2548"/>
      <c r="AL10" s="2342"/>
      <c r="AM10" s="254"/>
      <c r="AN10" s="1427"/>
      <c r="AO10" s="1427" t="s">
        <v>512</v>
      </c>
      <c r="AP10" s="353"/>
      <c r="AQ10" s="353"/>
      <c r="AR10" s="353"/>
      <c r="AS10" s="1320"/>
      <c r="AT10" s="1320"/>
      <c r="AU10" s="1423"/>
      <c r="AV10" s="1320"/>
      <c r="AW10" s="1423"/>
      <c r="AX10" s="1320"/>
      <c r="AY10" s="1320"/>
      <c r="AZ10" s="1320"/>
      <c r="BA10" s="1320"/>
      <c r="BB10" s="1324"/>
      <c r="BC10" s="2492"/>
      <c r="BE10" s="437"/>
      <c r="BF10" s="437"/>
      <c r="BG10" s="437"/>
      <c r="BH10" s="437"/>
      <c r="BI10" s="1082">
        <v>0</v>
      </c>
    </row>
    <row r="11" spans="1:61" ht="11.25" hidden="1" customHeight="1">
      <c r="A11" s="1290"/>
      <c r="B11" s="1290"/>
      <c r="C11" s="1290"/>
      <c r="D11" s="1290"/>
      <c r="E11" s="2469"/>
      <c r="F11" s="2469"/>
      <c r="G11" s="2469"/>
      <c r="H11" s="2469"/>
      <c r="I11" s="2471"/>
      <c r="J11" s="2471"/>
      <c r="K11" s="2470"/>
      <c r="L11" s="1291"/>
      <c r="P11" s="2472"/>
      <c r="Q11" s="2472"/>
      <c r="R11" s="2541"/>
      <c r="S11" s="2539"/>
      <c r="T11" s="2559"/>
      <c r="U11" s="238"/>
      <c r="V11" s="1320"/>
      <c r="W11" s="1423"/>
      <c r="X11" s="1320"/>
      <c r="Y11" s="1423"/>
      <c r="Z11" s="1320"/>
      <c r="AA11" s="1320"/>
      <c r="AB11" s="1320"/>
      <c r="AC11" s="1320"/>
      <c r="AD11" s="2393"/>
      <c r="AE11" s="2534"/>
      <c r="AF11" s="2425"/>
      <c r="AG11" s="2557"/>
      <c r="AH11" s="2342"/>
      <c r="AI11" s="232"/>
      <c r="AJ11" s="352"/>
      <c r="AK11" s="251" t="s">
        <v>513</v>
      </c>
      <c r="AL11" s="1320"/>
      <c r="AM11" s="1320"/>
      <c r="AN11" s="1320"/>
      <c r="AO11" s="1320"/>
      <c r="AP11" s="1320"/>
      <c r="AQ11" s="1320"/>
      <c r="AR11" s="1320"/>
      <c r="AS11" s="1320"/>
      <c r="AT11" s="1320"/>
      <c r="AU11" s="1423"/>
      <c r="AV11" s="1320"/>
      <c r="AW11" s="1423"/>
      <c r="AX11" s="1320"/>
      <c r="AY11" s="1320"/>
      <c r="AZ11" s="1320"/>
      <c r="BA11" s="1320"/>
      <c r="BB11" s="1324"/>
      <c r="BC11" s="2492"/>
      <c r="BE11" s="437"/>
      <c r="BF11" s="437"/>
      <c r="BG11" s="437"/>
      <c r="BH11" s="437"/>
      <c r="BI11" s="1082">
        <v>0</v>
      </c>
    </row>
    <row r="12" spans="1:61" ht="11.25" hidden="1" customHeight="1">
      <c r="A12" s="1290"/>
      <c r="B12" s="1290"/>
      <c r="C12" s="1290"/>
      <c r="D12" s="1290"/>
      <c r="E12" s="2469"/>
      <c r="F12" s="2469"/>
      <c r="G12" s="2469"/>
      <c r="H12" s="2469"/>
      <c r="I12" s="2471"/>
      <c r="J12" s="2471"/>
      <c r="K12" s="2470"/>
      <c r="L12" s="1291"/>
      <c r="P12" s="2472"/>
      <c r="Q12" s="2472"/>
      <c r="R12" s="2541"/>
      <c r="S12" s="2540"/>
      <c r="T12" s="2560"/>
      <c r="U12" s="238"/>
      <c r="V12" s="1320"/>
      <c r="W12" s="1321" t="str">
        <f>Z8&amp;"-"&amp;AB8</f>
        <v>-</v>
      </c>
      <c r="X12" s="1320"/>
      <c r="Y12" s="1321" t="str">
        <f>AB8&amp;"-"&amp;AD8</f>
        <v>-да</v>
      </c>
      <c r="Z12" s="1320"/>
      <c r="AA12" s="1320"/>
      <c r="AB12" s="1320"/>
      <c r="AC12" s="1320"/>
      <c r="AD12" s="2347"/>
      <c r="AE12" s="250"/>
      <c r="AF12" s="252"/>
      <c r="AG12" s="353" t="s">
        <v>514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492"/>
      <c r="BE12" s="437"/>
      <c r="BF12" s="437" t="str">
        <f t="shared" ref="BF12:BF18" si="1">IF(T12="","",T12)</f>
        <v/>
      </c>
      <c r="BG12" s="437"/>
      <c r="BH12" s="437"/>
      <c r="BI12" s="1082">
        <v>0</v>
      </c>
    </row>
    <row r="13" spans="1:61" ht="11.25" hidden="1" customHeight="1">
      <c r="A13" s="1290"/>
      <c r="B13" s="1290"/>
      <c r="C13" s="1290"/>
      <c r="D13" s="1290"/>
      <c r="E13" s="2469"/>
      <c r="F13" s="2469"/>
      <c r="G13" s="2469"/>
      <c r="H13" s="2469"/>
      <c r="I13" s="2471"/>
      <c r="J13" s="2470"/>
      <c r="K13" s="1290"/>
      <c r="L13" s="1291"/>
      <c r="P13" s="2472"/>
      <c r="Q13" s="2472"/>
      <c r="R13" s="293"/>
      <c r="S13" s="1205"/>
      <c r="T13" s="225" t="s">
        <v>477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493"/>
      <c r="BE13" s="437"/>
      <c r="BF13" s="437" t="str">
        <f t="shared" si="1"/>
        <v>Добавить строку</v>
      </c>
      <c r="BG13" s="437"/>
      <c r="BH13" s="437"/>
      <c r="BI13" s="1082">
        <v>0</v>
      </c>
    </row>
    <row r="14" spans="1:61" s="1569" customFormat="1" ht="14.25" hidden="1" customHeight="1">
      <c r="A14" s="1270"/>
      <c r="B14" s="1270"/>
      <c r="C14" s="1270"/>
      <c r="D14" s="1270"/>
      <c r="E14" s="2469"/>
      <c r="F14" s="2469"/>
      <c r="G14" s="2469"/>
      <c r="H14" s="2469"/>
      <c r="I14" s="2470"/>
      <c r="J14" s="1270"/>
      <c r="K14" s="1270"/>
      <c r="L14" s="1273"/>
      <c r="M14" s="447"/>
      <c r="N14" s="447"/>
      <c r="O14" s="447"/>
      <c r="P14" s="2472"/>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469"/>
      <c r="F15" s="2469"/>
      <c r="G15" s="2469"/>
      <c r="H15" s="2468"/>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469"/>
      <c r="F16" s="2469"/>
      <c r="G16" s="2468"/>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469"/>
      <c r="F17" s="2468"/>
      <c r="G17" s="1241"/>
      <c r="H17" s="1241"/>
      <c r="I17" s="1241"/>
      <c r="J17" s="1241"/>
      <c r="K17" s="1241"/>
      <c r="L17" s="1391"/>
      <c r="M17" s="1248"/>
      <c r="N17" s="1248"/>
      <c r="P17" s="1243"/>
      <c r="Q17" s="1244"/>
      <c r="R17" s="1243"/>
      <c r="S17" s="1249"/>
      <c r="T17" s="1252" t="s">
        <v>170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468"/>
      <c r="F18" s="1270"/>
      <c r="G18" s="1270"/>
      <c r="H18" s="1270"/>
      <c r="I18" s="1270"/>
      <c r="J18" s="1270"/>
      <c r="K18" s="1270"/>
      <c r="L18" s="1273"/>
      <c r="M18" s="1248"/>
      <c r="N18" s="1248"/>
      <c r="O18" s="455"/>
      <c r="P18" s="317"/>
      <c r="Q18" s="1271"/>
      <c r="R18" s="317"/>
      <c r="S18" s="1249"/>
      <c r="T18" s="1252" t="s">
        <v>171</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67</v>
      </c>
      <c r="AZ20" s="1662"/>
      <c r="BA20" s="1387" t="s">
        <v>67</v>
      </c>
      <c r="BI20" s="1082">
        <v>0</v>
      </c>
    </row>
    <row r="21" spans="1:61" ht="14.25" hidden="1" customHeight="1">
      <c r="BD21" s="433"/>
      <c r="BE21" s="433"/>
      <c r="BF21" s="433"/>
      <c r="BG21" s="433"/>
      <c r="BH21" s="433"/>
      <c r="BI21" s="1082">
        <v>0</v>
      </c>
    </row>
    <row r="22" spans="1:61" ht="14.25" hidden="1" customHeight="1">
      <c r="O22" s="1294" t="s">
        <v>421</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422</v>
      </c>
      <c r="P24" s="1435"/>
      <c r="Q24" s="1437"/>
      <c r="R24" s="1437"/>
      <c r="AA24" s="1434" t="s">
        <v>424</v>
      </c>
      <c r="AC24" s="1434" t="s">
        <v>425</v>
      </c>
      <c r="AD24" s="1434" t="s">
        <v>478</v>
      </c>
      <c r="AH24" s="1434" t="s">
        <v>478</v>
      </c>
      <c r="AK24" s="1434" t="s">
        <v>515</v>
      </c>
      <c r="AL24" s="1434" t="s">
        <v>478</v>
      </c>
      <c r="AP24" s="1434" t="s">
        <v>478</v>
      </c>
      <c r="AY24" s="1434" t="s">
        <v>424</v>
      </c>
      <c r="BA24" s="1434" t="s">
        <v>425</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4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49"/>
      <c r="U28" s="2449"/>
      <c r="V28" s="2449"/>
      <c r="W28" s="2449"/>
      <c r="X28" s="2449"/>
      <c r="Y28" s="2449"/>
      <c r="Z28" s="2449"/>
      <c r="AA28" s="2449"/>
      <c r="AB28" s="2449"/>
      <c r="AC28" s="2449"/>
      <c r="AD28" s="2449"/>
      <c r="AE28" s="2449"/>
      <c r="AF28" s="2449"/>
      <c r="AG28" s="2449"/>
      <c r="AH28" s="2449"/>
      <c r="AI28" s="2449"/>
      <c r="AJ28" s="2449"/>
      <c r="AK28" s="2449"/>
      <c r="AL28" s="2449"/>
      <c r="AM28" s="2449"/>
      <c r="AN28" s="2449"/>
      <c r="AO28" s="2449"/>
      <c r="AP28" s="2449"/>
      <c r="AQ28" s="2449"/>
      <c r="AR28" s="2449"/>
      <c r="AS28" s="2449"/>
      <c r="AT28" s="2449"/>
      <c r="AU28" s="2449"/>
      <c r="AV28" s="2449"/>
      <c r="AW28" s="2449"/>
      <c r="AX28" s="2449"/>
      <c r="AY28" s="2449"/>
      <c r="AZ28" s="2449"/>
      <c r="BA28" s="1170"/>
      <c r="BI28" s="1082">
        <v>14</v>
      </c>
    </row>
    <row r="29" spans="1:61" ht="14.65" customHeight="1">
      <c r="Q29" s="229"/>
      <c r="R29" s="313"/>
      <c r="S29" s="2421" t="str">
        <f>IF(org=0,"Не определено",org)</f>
        <v>МУП "Городские тепловые сети" МО  "город Курчатов"</v>
      </c>
      <c r="T29" s="2421"/>
      <c r="U29" s="2421"/>
      <c r="V29" s="2421"/>
      <c r="W29" s="2421"/>
      <c r="X29" s="2421"/>
      <c r="Y29" s="2421"/>
      <c r="Z29" s="2421"/>
      <c r="AA29" s="2421"/>
      <c r="AB29" s="2421"/>
      <c r="AC29" s="2421"/>
      <c r="AD29" s="2421"/>
      <c r="AE29" s="2421"/>
      <c r="AF29" s="2421"/>
      <c r="AG29" s="2421"/>
      <c r="AH29" s="2421"/>
      <c r="AI29" s="2421"/>
      <c r="AJ29" s="2421"/>
      <c r="AK29" s="2421"/>
      <c r="AL29" s="2421"/>
      <c r="AM29" s="2421"/>
      <c r="AN29" s="2421"/>
      <c r="AO29" s="2421"/>
      <c r="AP29" s="2421"/>
      <c r="AQ29" s="2421"/>
      <c r="AR29" s="2421"/>
      <c r="AS29" s="2421"/>
      <c r="AT29" s="2421"/>
      <c r="AU29" s="2421"/>
      <c r="AV29" s="2421"/>
      <c r="AW29" s="2421"/>
      <c r="AX29" s="2421"/>
      <c r="AY29" s="2421"/>
      <c r="AZ29" s="2421"/>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459" t="s">
        <v>42</v>
      </c>
      <c r="T31" s="2459"/>
      <c r="U31" s="1299"/>
      <c r="V31" s="2461" t="str">
        <f>IF(TITLE_NAME_OR_PR_CHANGE="",IF(TITLE_NAME_OR_PR="","",TITLE_NAME_OR_PR),TITLE_NAME_OR_PR_CHANGE)</f>
        <v/>
      </c>
      <c r="W31" s="2461"/>
      <c r="X31" s="2461"/>
      <c r="Y31" s="2461"/>
      <c r="Z31" s="2461"/>
      <c r="AA31" s="2461"/>
      <c r="AB31" s="2461"/>
      <c r="AC31" s="264"/>
      <c r="AD31" s="2461" t="str">
        <f>IF(TITLE_NAME_OR_PR_CHANGE="",IF(TITLE_NAME_OR_PR="","",TITLE_NAME_OR_PR),TITLE_NAME_OR_PR_CHANGE)</f>
        <v/>
      </c>
      <c r="AE31" s="2461"/>
      <c r="AF31" s="2461"/>
      <c r="AG31" s="2461"/>
      <c r="AH31" s="2461"/>
      <c r="AI31" s="2461"/>
      <c r="AJ31" s="2461"/>
      <c r="AK31" s="2461"/>
      <c r="AL31" s="2461"/>
      <c r="AM31" s="2461"/>
      <c r="AN31" s="2461"/>
      <c r="AO31" s="2461"/>
      <c r="AP31" s="2461"/>
      <c r="AQ31" s="2461"/>
      <c r="AR31" s="2461"/>
      <c r="AS31" s="2461"/>
      <c r="AT31" s="2461"/>
      <c r="AU31" s="2461"/>
      <c r="AV31" s="2461"/>
      <c r="AW31" s="2461"/>
      <c r="AX31" s="2461"/>
      <c r="AY31" s="2461"/>
      <c r="AZ31" s="2461"/>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459" t="s">
        <v>427</v>
      </c>
      <c r="T32" s="2459"/>
      <c r="U32" s="1299"/>
      <c r="V32" s="2460">
        <f>IF(TITLE_DATE_PR_CHANGE="",IF(TITLE_DATE_PR="","",TITLE_DATE_PR),TITLE_DATE_PR_CHANGE)</f>
        <v>45775</v>
      </c>
      <c r="W32" s="2460"/>
      <c r="X32" s="2460"/>
      <c r="Y32" s="2460"/>
      <c r="Z32" s="2460"/>
      <c r="AA32" s="2460"/>
      <c r="AB32" s="2460"/>
      <c r="AC32" s="264"/>
      <c r="AD32" s="2460">
        <f>IF(TITLE_DATE_PR_CHANGE="",IF(TITLE_DATE_PR="","",TITLE_DATE_PR),TITLE_DATE_PR_CHANGE)</f>
        <v>45775</v>
      </c>
      <c r="AE32" s="2460"/>
      <c r="AF32" s="2460"/>
      <c r="AG32" s="2460"/>
      <c r="AH32" s="2460"/>
      <c r="AI32" s="2460"/>
      <c r="AJ32" s="2460"/>
      <c r="AK32" s="2460"/>
      <c r="AL32" s="2460"/>
      <c r="AM32" s="2460"/>
      <c r="AN32" s="2460"/>
      <c r="AO32" s="2460"/>
      <c r="AP32" s="2460"/>
      <c r="AQ32" s="2460"/>
      <c r="AR32" s="2460"/>
      <c r="AS32" s="2460"/>
      <c r="AT32" s="2460"/>
      <c r="AU32" s="2460"/>
      <c r="AV32" s="2460"/>
      <c r="AW32" s="2460"/>
      <c r="AX32" s="2460"/>
      <c r="AY32" s="2460"/>
      <c r="AZ32" s="2460"/>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459" t="s">
        <v>428</v>
      </c>
      <c r="T33" s="2459"/>
      <c r="U33" s="1299"/>
      <c r="V33" s="2461" t="str">
        <f>IF(TITLE_NUMBER_PR_CHANGE="",IF(TITLE_NUMBER_PR="","",TITLE_NUMBER_PR),TITLE_NUMBER_PR_CHANGE)</f>
        <v>03.5-1382</v>
      </c>
      <c r="W33" s="2461"/>
      <c r="X33" s="2461"/>
      <c r="Y33" s="2461"/>
      <c r="Z33" s="2461"/>
      <c r="AA33" s="2461"/>
      <c r="AB33" s="2461"/>
      <c r="AC33" s="264"/>
      <c r="AD33" s="2461" t="str">
        <f>IF(TITLE_NUMBER_PR_CHANGE="",IF(TITLE_NUMBER_PR="","",TITLE_NUMBER_PR),TITLE_NUMBER_PR_CHANGE)</f>
        <v>03.5-1382</v>
      </c>
      <c r="AE33" s="2461"/>
      <c r="AF33" s="2461"/>
      <c r="AG33" s="2461"/>
      <c r="AH33" s="2461"/>
      <c r="AI33" s="2461"/>
      <c r="AJ33" s="2461"/>
      <c r="AK33" s="2461"/>
      <c r="AL33" s="2461"/>
      <c r="AM33" s="2461"/>
      <c r="AN33" s="2461"/>
      <c r="AO33" s="2461"/>
      <c r="AP33" s="2461"/>
      <c r="AQ33" s="2461"/>
      <c r="AR33" s="2461"/>
      <c r="AS33" s="2461"/>
      <c r="AT33" s="2461"/>
      <c r="AU33" s="2461"/>
      <c r="AV33" s="2461"/>
      <c r="AW33" s="2461"/>
      <c r="AX33" s="2461"/>
      <c r="AY33" s="2461"/>
      <c r="AZ33" s="2461"/>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459" t="s">
        <v>43</v>
      </c>
      <c r="T34" s="2459"/>
      <c r="U34" s="1299"/>
      <c r="V34" s="2461" t="str">
        <f>IF(TITLE_IST_PUB_CHANGE="",IF(TITLE_IST_PUB="","",TITLE_IST_PUB),TITLE_IST_PUB_CHANGE)</f>
        <v/>
      </c>
      <c r="W34" s="2461"/>
      <c r="X34" s="2461"/>
      <c r="Y34" s="2461"/>
      <c r="Z34" s="2461"/>
      <c r="AA34" s="2461"/>
      <c r="AB34" s="2461"/>
      <c r="AC34" s="264"/>
      <c r="AD34" s="2461" t="str">
        <f>IF(TITLE_IST_PUB_CHANGE="",IF(TITLE_IST_PUB="","",TITLE_IST_PUB),TITLE_IST_PUB_CHANGE)</f>
        <v/>
      </c>
      <c r="AE34" s="2461"/>
      <c r="AF34" s="2461"/>
      <c r="AG34" s="2461"/>
      <c r="AH34" s="2461"/>
      <c r="AI34" s="2461"/>
      <c r="AJ34" s="2461"/>
      <c r="AK34" s="2461"/>
      <c r="AL34" s="2461"/>
      <c r="AM34" s="2461"/>
      <c r="AN34" s="2461"/>
      <c r="AO34" s="2461"/>
      <c r="AP34" s="2461"/>
      <c r="AQ34" s="2461"/>
      <c r="AR34" s="2461"/>
      <c r="AS34" s="2461"/>
      <c r="AT34" s="2461"/>
      <c r="AU34" s="2461"/>
      <c r="AV34" s="2461"/>
      <c r="AW34" s="2461"/>
      <c r="AX34" s="2461"/>
      <c r="AY34" s="2461"/>
      <c r="AZ34" s="2461"/>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459" t="s">
        <v>427</v>
      </c>
      <c r="T36" s="2459"/>
      <c r="U36" s="1299"/>
      <c r="V36" s="2460">
        <f>IF(TITLE_DATE_PR_CHANGE="",IF(TITLE_DATE_PR="","",TITLE_DATE_PR),TITLE_DATE_PR_CHANGE)</f>
        <v>45775</v>
      </c>
      <c r="W36" s="2460"/>
      <c r="X36" s="2460"/>
      <c r="Y36" s="2460"/>
      <c r="Z36" s="2460"/>
      <c r="AA36" s="2460"/>
      <c r="AB36" s="2460"/>
      <c r="AC36" s="264"/>
      <c r="AD36" s="2460">
        <f>IF(TITLE_DATE_PR_CHANGE="",IF(TITLE_DATE_PR="","",TITLE_DATE_PR),TITLE_DATE_PR_CHANGE)</f>
        <v>45775</v>
      </c>
      <c r="AE36" s="2460"/>
      <c r="AF36" s="2460"/>
      <c r="AG36" s="2460"/>
      <c r="AH36" s="2460"/>
      <c r="AI36" s="2460"/>
      <c r="AJ36" s="2460"/>
      <c r="AK36" s="2460"/>
      <c r="AL36" s="2460"/>
      <c r="AM36" s="2460"/>
      <c r="AN36" s="2460"/>
      <c r="AO36" s="2460"/>
      <c r="AP36" s="2460"/>
      <c r="AQ36" s="2460"/>
      <c r="AR36" s="2460"/>
      <c r="AS36" s="2460"/>
      <c r="AT36" s="2460"/>
      <c r="AU36" s="2460"/>
      <c r="AV36" s="2460"/>
      <c r="AW36" s="2460"/>
      <c r="AX36" s="2460"/>
      <c r="AY36" s="2460"/>
      <c r="AZ36" s="2460"/>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459" t="s">
        <v>428</v>
      </c>
      <c r="T37" s="2459"/>
      <c r="U37" s="1299"/>
      <c r="V37" s="2461" t="str">
        <f>IF(TITLE_NUMBER_PR_CHANGE="",IF(TITLE_NUMBER_PR="","",TITLE_NUMBER_PR),TITLE_NUMBER_PR_CHANGE)</f>
        <v>03.5-1382</v>
      </c>
      <c r="W37" s="2461"/>
      <c r="X37" s="2461"/>
      <c r="Y37" s="2461"/>
      <c r="Z37" s="2461"/>
      <c r="AA37" s="2461"/>
      <c r="AB37" s="2461"/>
      <c r="AC37" s="264"/>
      <c r="AD37" s="2461" t="str">
        <f>IF(TITLE_NUMBER_PR_CHANGE="",IF(TITLE_NUMBER_PR="","",TITLE_NUMBER_PR),TITLE_NUMBER_PR_CHANGE)</f>
        <v>03.5-1382</v>
      </c>
      <c r="AE37" s="2461"/>
      <c r="AF37" s="2461"/>
      <c r="AG37" s="2461"/>
      <c r="AH37" s="2461"/>
      <c r="AI37" s="2461"/>
      <c r="AJ37" s="2461"/>
      <c r="AK37" s="2461"/>
      <c r="AL37" s="2461"/>
      <c r="AM37" s="2461"/>
      <c r="AN37" s="2461"/>
      <c r="AO37" s="2461"/>
      <c r="AP37" s="2461"/>
      <c r="AQ37" s="2461"/>
      <c r="AR37" s="2461"/>
      <c r="AS37" s="2461"/>
      <c r="AT37" s="2461"/>
      <c r="AU37" s="2461"/>
      <c r="AV37" s="2461"/>
      <c r="AW37" s="2461"/>
      <c r="AX37" s="2461"/>
      <c r="AY37" s="2461"/>
      <c r="AZ37" s="2461"/>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431</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431</v>
      </c>
      <c r="BD38" s="305"/>
      <c r="BE38" s="305"/>
      <c r="BF38" s="305"/>
      <c r="BG38" s="305"/>
      <c r="BH38" s="305"/>
      <c r="BI38" s="355">
        <v>0</v>
      </c>
    </row>
    <row r="39" spans="1:61" ht="14.65" customHeight="1">
      <c r="Q39" s="229"/>
      <c r="R39" s="313"/>
      <c r="S39" s="1202"/>
      <c r="T39" s="300"/>
      <c r="U39" s="1171"/>
      <c r="V39" s="2480"/>
      <c r="W39" s="2480"/>
      <c r="X39" s="2480"/>
      <c r="Y39" s="2480"/>
      <c r="Z39" s="2480"/>
      <c r="AA39" s="2480"/>
      <c r="AB39" s="2480"/>
      <c r="AC39" s="2480"/>
      <c r="AD39" s="2480"/>
      <c r="AE39" s="2480"/>
      <c r="AF39" s="2480"/>
      <c r="AG39" s="2480"/>
      <c r="AH39" s="2480"/>
      <c r="AI39" s="2480"/>
      <c r="AJ39" s="2480"/>
      <c r="AK39" s="2480"/>
      <c r="AL39" s="2480"/>
      <c r="AM39" s="2480"/>
      <c r="AN39" s="2480"/>
      <c r="AO39" s="2480"/>
      <c r="AP39" s="2480"/>
      <c r="AQ39" s="2480"/>
      <c r="AR39" s="2480"/>
      <c r="AS39" s="2480"/>
      <c r="AT39" s="2480"/>
      <c r="AU39" s="2480"/>
      <c r="AV39" s="2480"/>
      <c r="AW39" s="2480"/>
      <c r="AX39" s="2480"/>
      <c r="AY39" s="2480"/>
      <c r="AZ39" s="2480"/>
      <c r="BA39" s="2480"/>
      <c r="BI39" s="1082">
        <v>14</v>
      </c>
    </row>
    <row r="40" spans="1:61" ht="14.65" customHeight="1">
      <c r="Q40" s="229"/>
      <c r="R40" s="313"/>
      <c r="S40" s="2332" t="s">
        <v>307</v>
      </c>
      <c r="T40" s="2332"/>
      <c r="U40" s="2332"/>
      <c r="V40" s="2332"/>
      <c r="W40" s="2332"/>
      <c r="X40" s="2332"/>
      <c r="Y40" s="2332"/>
      <c r="Z40" s="2332"/>
      <c r="AA40" s="2332"/>
      <c r="AB40" s="2332"/>
      <c r="AC40" s="2332"/>
      <c r="AD40" s="2332"/>
      <c r="AE40" s="2332"/>
      <c r="AF40" s="2332"/>
      <c r="AG40" s="2332"/>
      <c r="AH40" s="2332"/>
      <c r="AI40" s="2332"/>
      <c r="AJ40" s="2332"/>
      <c r="AK40" s="2332"/>
      <c r="AL40" s="2332"/>
      <c r="AM40" s="2332"/>
      <c r="AN40" s="2332"/>
      <c r="AO40" s="2332"/>
      <c r="AP40" s="2332"/>
      <c r="AQ40" s="2332"/>
      <c r="AR40" s="2332"/>
      <c r="AS40" s="2332"/>
      <c r="AT40" s="2332"/>
      <c r="AU40" s="2332"/>
      <c r="AV40" s="2332"/>
      <c r="AW40" s="2332"/>
      <c r="AX40" s="2332"/>
      <c r="AY40" s="2332"/>
      <c r="AZ40" s="2332"/>
      <c r="BA40" s="2332"/>
      <c r="BB40" s="2332"/>
      <c r="BC40" s="2332" t="s">
        <v>308</v>
      </c>
      <c r="BI40" s="1082">
        <v>14</v>
      </c>
    </row>
    <row r="41" spans="1:61" ht="14.65" customHeight="1">
      <c r="Q41" s="229"/>
      <c r="R41" s="313"/>
      <c r="S41" s="2481" t="s">
        <v>89</v>
      </c>
      <c r="T41" s="2429" t="s">
        <v>516</v>
      </c>
      <c r="U41" s="239"/>
      <c r="V41" s="2482" t="s">
        <v>433</v>
      </c>
      <c r="W41" s="2483"/>
      <c r="X41" s="2483"/>
      <c r="Y41" s="2483"/>
      <c r="Z41" s="2483"/>
      <c r="AA41" s="2483"/>
      <c r="AB41" s="2484"/>
      <c r="AC41" s="2485" t="s">
        <v>434</v>
      </c>
      <c r="AD41" s="2527" t="s">
        <v>517</v>
      </c>
      <c r="AE41" s="2508"/>
      <c r="AF41" s="2508"/>
      <c r="AG41" s="2528"/>
      <c r="AH41" s="2527" t="s">
        <v>518</v>
      </c>
      <c r="AI41" s="2508"/>
      <c r="AJ41" s="2508"/>
      <c r="AK41" s="2528"/>
      <c r="AL41" s="2527" t="s">
        <v>519</v>
      </c>
      <c r="AM41" s="2508"/>
      <c r="AN41" s="2508"/>
      <c r="AO41" s="2528"/>
      <c r="AP41" s="2527" t="s">
        <v>520</v>
      </c>
      <c r="AQ41" s="2508"/>
      <c r="AR41" s="2508"/>
      <c r="AS41" s="2528"/>
      <c r="AT41" s="2482" t="s">
        <v>433</v>
      </c>
      <c r="AU41" s="2483"/>
      <c r="AV41" s="2483"/>
      <c r="AW41" s="2483"/>
      <c r="AX41" s="2483"/>
      <c r="AY41" s="2483"/>
      <c r="AZ41" s="2484"/>
      <c r="BA41" s="2485" t="s">
        <v>434</v>
      </c>
      <c r="BB41" s="2488" t="s">
        <v>436</v>
      </c>
      <c r="BC41" s="2332"/>
      <c r="BI41" s="1082">
        <v>14</v>
      </c>
    </row>
    <row r="42" spans="1:61" ht="35.65" customHeight="1">
      <c r="Q42" s="229"/>
      <c r="R42" s="313"/>
      <c r="S42" s="2481"/>
      <c r="T42" s="2429"/>
      <c r="U42" s="961"/>
      <c r="V42" s="2402" t="s">
        <v>521</v>
      </c>
      <c r="W42" s="2403"/>
      <c r="X42" s="2402" t="s">
        <v>522</v>
      </c>
      <c r="Y42" s="2403"/>
      <c r="Z42" s="2402" t="s">
        <v>523</v>
      </c>
      <c r="AA42" s="2520"/>
      <c r="AB42" s="2403"/>
      <c r="AC42" s="2486"/>
      <c r="AD42" s="2529"/>
      <c r="AE42" s="2530"/>
      <c r="AF42" s="2530"/>
      <c r="AG42" s="2542"/>
      <c r="AH42" s="2529"/>
      <c r="AI42" s="2530"/>
      <c r="AJ42" s="2530"/>
      <c r="AK42" s="2542"/>
      <c r="AL42" s="2529"/>
      <c r="AM42" s="2530"/>
      <c r="AN42" s="2530"/>
      <c r="AO42" s="2542"/>
      <c r="AP42" s="2529"/>
      <c r="AQ42" s="2530"/>
      <c r="AR42" s="2530"/>
      <c r="AS42" s="2542"/>
      <c r="AT42" s="2402" t="s">
        <v>521</v>
      </c>
      <c r="AU42" s="2403"/>
      <c r="AV42" s="2402" t="s">
        <v>522</v>
      </c>
      <c r="AW42" s="2403"/>
      <c r="AX42" s="2402" t="s">
        <v>523</v>
      </c>
      <c r="AY42" s="2520"/>
      <c r="AZ42" s="2403"/>
      <c r="BA42" s="2486"/>
      <c r="BB42" s="2489"/>
      <c r="BC42" s="2332"/>
      <c r="BI42" s="1082">
        <v>34</v>
      </c>
    </row>
    <row r="43" spans="1:61" ht="14.65" customHeight="1">
      <c r="Q43" s="229"/>
      <c r="R43" s="313"/>
      <c r="S43" s="2481"/>
      <c r="T43" s="2429"/>
      <c r="U43" s="961"/>
      <c r="V43" s="2407"/>
      <c r="W43" s="2408"/>
      <c r="X43" s="2407"/>
      <c r="Y43" s="2408"/>
      <c r="Z43" s="2407"/>
      <c r="AA43" s="2521"/>
      <c r="AB43" s="2408"/>
      <c r="AC43" s="2486"/>
      <c r="AD43" s="2529"/>
      <c r="AE43" s="2530"/>
      <c r="AF43" s="2530"/>
      <c r="AG43" s="2542"/>
      <c r="AH43" s="2529"/>
      <c r="AI43" s="2530"/>
      <c r="AJ43" s="2530"/>
      <c r="AK43" s="2542"/>
      <c r="AL43" s="2529"/>
      <c r="AM43" s="2530"/>
      <c r="AN43" s="2530"/>
      <c r="AO43" s="2542"/>
      <c r="AP43" s="2529"/>
      <c r="AQ43" s="2530"/>
      <c r="AR43" s="2530"/>
      <c r="AS43" s="2542"/>
      <c r="AT43" s="2407"/>
      <c r="AU43" s="2408"/>
      <c r="AV43" s="2407"/>
      <c r="AW43" s="2408"/>
      <c r="AX43" s="2407"/>
      <c r="AY43" s="2521"/>
      <c r="AZ43" s="2408"/>
      <c r="BA43" s="2486"/>
      <c r="BB43" s="2489"/>
      <c r="BC43" s="2332"/>
      <c r="BI43" s="1082">
        <v>14</v>
      </c>
    </row>
    <row r="44" spans="1:61" ht="14.65" customHeight="1">
      <c r="A44" s="1297"/>
      <c r="B44" s="1297" t="s">
        <v>136</v>
      </c>
      <c r="C44" s="1297" t="s">
        <v>137</v>
      </c>
      <c r="D44" s="1297" t="s">
        <v>138</v>
      </c>
      <c r="E44" s="1291" t="s">
        <v>441</v>
      </c>
      <c r="F44" s="1291" t="s">
        <v>442</v>
      </c>
      <c r="G44" s="1291" t="s">
        <v>443</v>
      </c>
      <c r="H44" s="1291" t="s">
        <v>444</v>
      </c>
      <c r="I44" s="1291" t="s">
        <v>445</v>
      </c>
      <c r="J44" s="1291" t="s">
        <v>446</v>
      </c>
      <c r="K44" s="1291" t="s">
        <v>447</v>
      </c>
      <c r="L44" s="1291" t="s">
        <v>422</v>
      </c>
      <c r="Q44" s="229"/>
      <c r="R44" s="313"/>
      <c r="S44" s="2481"/>
      <c r="T44" s="2429"/>
      <c r="U44" s="240"/>
      <c r="V44" s="1375" t="s">
        <v>487</v>
      </c>
      <c r="W44" s="1375" t="s">
        <v>488</v>
      </c>
      <c r="X44" s="1375" t="s">
        <v>487</v>
      </c>
      <c r="Y44" s="1375" t="s">
        <v>488</v>
      </c>
      <c r="Z44" s="1382" t="s">
        <v>450</v>
      </c>
      <c r="AA44" s="2434" t="s">
        <v>451</v>
      </c>
      <c r="AB44" s="2448"/>
      <c r="AC44" s="2487"/>
      <c r="AD44" s="2531"/>
      <c r="AE44" s="2532"/>
      <c r="AF44" s="2532"/>
      <c r="AG44" s="2533"/>
      <c r="AH44" s="2531"/>
      <c r="AI44" s="2532"/>
      <c r="AJ44" s="2532"/>
      <c r="AK44" s="2533"/>
      <c r="AL44" s="2531"/>
      <c r="AM44" s="2532"/>
      <c r="AN44" s="2532"/>
      <c r="AO44" s="2533"/>
      <c r="AP44" s="2531"/>
      <c r="AQ44" s="2532"/>
      <c r="AR44" s="2532"/>
      <c r="AS44" s="2533"/>
      <c r="AT44" s="1375" t="s">
        <v>487</v>
      </c>
      <c r="AU44" s="1375" t="s">
        <v>488</v>
      </c>
      <c r="AV44" s="1375" t="s">
        <v>487</v>
      </c>
      <c r="AW44" s="1375" t="s">
        <v>488</v>
      </c>
      <c r="AX44" s="1382" t="s">
        <v>450</v>
      </c>
      <c r="AY44" s="2434" t="s">
        <v>451</v>
      </c>
      <c r="AZ44" s="2448"/>
      <c r="BA44" s="2487"/>
      <c r="BB44" s="2490"/>
      <c r="BC44" s="2332"/>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378">
        <f t="shared" ref="V45:AA45" ca="1" si="2">OFFSET(V45,0,-1)+1</f>
        <v>3</v>
      </c>
      <c r="W45" s="1378">
        <f t="shared" ca="1" si="2"/>
        <v>4</v>
      </c>
      <c r="X45" s="1378">
        <f t="shared" ca="1" si="2"/>
        <v>5</v>
      </c>
      <c r="Y45" s="1378">
        <f t="shared" ca="1" si="2"/>
        <v>6</v>
      </c>
      <c r="Z45" s="1378">
        <f t="shared" ca="1" si="2"/>
        <v>7</v>
      </c>
      <c r="AA45" s="2479">
        <f t="shared" ca="1" si="2"/>
        <v>8</v>
      </c>
      <c r="AB45" s="2479"/>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479">
        <f ca="1">OFFSET(AY45,0,-1)+1</f>
        <v>3</v>
      </c>
      <c r="AZ45" s="2479"/>
      <c r="BA45" s="1378">
        <f ca="1">OFFSET(BA45,0,-2)+1</f>
        <v>4</v>
      </c>
      <c r="BB45" s="1172">
        <f ca="1">OFFSET(BB45,0,-1)</f>
        <v>4</v>
      </c>
      <c r="BC45" s="1378">
        <f ca="1">OFFSET(BC45,0,-1)+1</f>
        <v>5</v>
      </c>
      <c r="BD45" s="448"/>
      <c r="BE45" s="448"/>
      <c r="BF45" s="448"/>
      <c r="BG45" s="448"/>
      <c r="BH45" s="448"/>
      <c r="BI45" s="433">
        <v>0</v>
      </c>
    </row>
    <row r="46" spans="1:61" ht="21.95" customHeight="1">
      <c r="A46" s="1290" t="s">
        <v>253</v>
      </c>
      <c r="B46" s="1290"/>
      <c r="C46" s="1290"/>
      <c r="D46" s="1290"/>
      <c r="E46" s="2468">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124</v>
      </c>
      <c r="U46" s="238"/>
      <c r="V46" s="2463"/>
      <c r="W46" s="2463"/>
      <c r="X46" s="2463"/>
      <c r="Y46" s="2463"/>
      <c r="Z46" s="2463"/>
      <c r="AA46" s="2463"/>
      <c r="AB46" s="2463"/>
      <c r="AC46" s="2464"/>
      <c r="AD46" s="2462" t="str">
        <f>INDEX(PT_DIFFERENTIATION_NTAR,MATCH(A46,PT_DIFFERENTIATION_NTAR_ID,0))</f>
        <v/>
      </c>
      <c r="AE46" s="2463"/>
      <c r="AF46" s="2463"/>
      <c r="AG46" s="2463"/>
      <c r="AH46" s="2463"/>
      <c r="AI46" s="2463"/>
      <c r="AJ46" s="2463"/>
      <c r="AK46" s="2463"/>
      <c r="AL46" s="2463"/>
      <c r="AM46" s="2463"/>
      <c r="AN46" s="2463"/>
      <c r="AO46" s="2463"/>
      <c r="AP46" s="2463"/>
      <c r="AQ46" s="2463"/>
      <c r="AR46" s="2463"/>
      <c r="AS46" s="2463"/>
      <c r="AT46" s="2463"/>
      <c r="AU46" s="2463"/>
      <c r="AV46" s="2463"/>
      <c r="AW46" s="2463"/>
      <c r="AX46" s="2463"/>
      <c r="AY46" s="2463"/>
      <c r="AZ46" s="2463"/>
      <c r="BA46" s="2463"/>
      <c r="BB46" s="2464"/>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253</v>
      </c>
      <c r="B47" s="1290" t="s">
        <v>254</v>
      </c>
      <c r="C47" s="1290"/>
      <c r="D47" s="1290"/>
      <c r="E47" s="2469"/>
      <c r="F47" s="2468">
        <v>1</v>
      </c>
      <c r="G47" s="1290"/>
      <c r="H47" s="1290"/>
      <c r="I47" s="1290"/>
      <c r="J47" s="1290"/>
      <c r="K47" s="1290"/>
      <c r="L47" s="1291"/>
      <c r="M47" s="1292"/>
      <c r="N47" s="1292"/>
      <c r="O47" s="1292"/>
      <c r="P47" s="1337"/>
      <c r="Q47" s="1338"/>
      <c r="R47" s="290"/>
      <c r="S47" s="1384" t="str">
        <f>INDEX(PT_DIFFERENTIATION_NUM_TER,MATCH(B47,PT_DIFFERENTIATION_TER_ID,0))</f>
        <v>.</v>
      </c>
      <c r="T47" s="246" t="s">
        <v>404</v>
      </c>
      <c r="U47" s="238"/>
      <c r="V47" s="2463"/>
      <c r="W47" s="2463"/>
      <c r="X47" s="2463"/>
      <c r="Y47" s="2463"/>
      <c r="Z47" s="2463"/>
      <c r="AA47" s="2463"/>
      <c r="AB47" s="2463"/>
      <c r="AC47" s="2464"/>
      <c r="AD47" s="2462" t="str">
        <f>INDEX(PT_DIFFERENTIATION_TER,MATCH(B47,PT_DIFFERENTIATION_TER_ID,0))</f>
        <v/>
      </c>
      <c r="AE47" s="2463"/>
      <c r="AF47" s="2463"/>
      <c r="AG47" s="2463"/>
      <c r="AH47" s="2463"/>
      <c r="AI47" s="2463"/>
      <c r="AJ47" s="2463"/>
      <c r="AK47" s="2463"/>
      <c r="AL47" s="2463"/>
      <c r="AM47" s="2463"/>
      <c r="AN47" s="2463"/>
      <c r="AO47" s="2463"/>
      <c r="AP47" s="2463"/>
      <c r="AQ47" s="2463"/>
      <c r="AR47" s="2463"/>
      <c r="AS47" s="2463"/>
      <c r="AT47" s="2463"/>
      <c r="AU47" s="2463"/>
      <c r="AV47" s="2463"/>
      <c r="AW47" s="2463"/>
      <c r="AX47" s="2463"/>
      <c r="AY47" s="2463"/>
      <c r="AZ47" s="2463"/>
      <c r="BA47" s="2463"/>
      <c r="BB47" s="2464"/>
      <c r="BC47" s="1185" t="s">
        <v>405</v>
      </c>
      <c r="BE47" s="437"/>
      <c r="BF47" s="437" t="str">
        <f t="shared" si="3"/>
        <v>Территория действия тарифа</v>
      </c>
      <c r="BG47" s="437"/>
      <c r="BH47" s="437"/>
      <c r="BI47" s="1082">
        <v>21</v>
      </c>
    </row>
    <row r="48" spans="1:61" ht="43.15" customHeight="1">
      <c r="A48" s="1290" t="s">
        <v>253</v>
      </c>
      <c r="B48" s="1290" t="s">
        <v>254</v>
      </c>
      <c r="C48" s="1290" t="s">
        <v>255</v>
      </c>
      <c r="D48" s="1290"/>
      <c r="E48" s="2469"/>
      <c r="F48" s="2469"/>
      <c r="G48" s="2468">
        <v>1</v>
      </c>
      <c r="H48" s="1290"/>
      <c r="I48" s="1290"/>
      <c r="J48" s="1290"/>
      <c r="K48" s="1290"/>
      <c r="L48" s="1291"/>
      <c r="M48" s="1292"/>
      <c r="N48" s="1292"/>
      <c r="O48" s="1292"/>
      <c r="P48" s="1339"/>
      <c r="Q48" s="1338"/>
      <c r="R48" s="290"/>
      <c r="S48" s="1384" t="str">
        <f>INDEX(PT_DIFFERENTIATION_NUM_CS,MATCH(C48,PT_DIFFERENTIATION_CS_ID,0))</f>
        <v>..</v>
      </c>
      <c r="T48" s="247" t="s">
        <v>490</v>
      </c>
      <c r="U48" s="238"/>
      <c r="V48" s="2463"/>
      <c r="W48" s="2463"/>
      <c r="X48" s="2463"/>
      <c r="Y48" s="2463"/>
      <c r="Z48" s="2463"/>
      <c r="AA48" s="2463"/>
      <c r="AB48" s="2463"/>
      <c r="AC48" s="2464"/>
      <c r="AD48" s="2462" t="str">
        <f>INDEX(PT_DIFFERENTIATION_CS,MATCH(C48,PT_DIFFERENTIATION_CS_ID,0))</f>
        <v/>
      </c>
      <c r="AE48" s="2463"/>
      <c r="AF48" s="2463"/>
      <c r="AG48" s="2463"/>
      <c r="AH48" s="2463"/>
      <c r="AI48" s="2463"/>
      <c r="AJ48" s="2463"/>
      <c r="AK48" s="2463"/>
      <c r="AL48" s="2463"/>
      <c r="AM48" s="2463"/>
      <c r="AN48" s="2463"/>
      <c r="AO48" s="2463"/>
      <c r="AP48" s="2463"/>
      <c r="AQ48" s="2463"/>
      <c r="AR48" s="2463"/>
      <c r="AS48" s="2463"/>
      <c r="AT48" s="2463"/>
      <c r="AU48" s="2463"/>
      <c r="AV48" s="2463"/>
      <c r="AW48" s="2463"/>
      <c r="AX48" s="2463"/>
      <c r="AY48" s="2463"/>
      <c r="AZ48" s="2463"/>
      <c r="BA48" s="2463"/>
      <c r="BB48" s="2464"/>
      <c r="BC48" s="1185" t="s">
        <v>491</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253</v>
      </c>
      <c r="B49" s="1270" t="s">
        <v>254</v>
      </c>
      <c r="C49" s="1270" t="s">
        <v>255</v>
      </c>
      <c r="D49" s="1270" t="s">
        <v>524</v>
      </c>
      <c r="E49" s="2469"/>
      <c r="F49" s="2469"/>
      <c r="G49" s="2469"/>
      <c r="H49" s="2468">
        <v>1</v>
      </c>
      <c r="I49" s="1270"/>
      <c r="J49" s="1270"/>
      <c r="K49" s="1270"/>
      <c r="L49" s="1273"/>
      <c r="M49" s="1242"/>
      <c r="N49" s="1242"/>
      <c r="O49" s="1242"/>
      <c r="P49" s="1424"/>
      <c r="Q49" s="1425"/>
      <c r="R49" s="294"/>
      <c r="S49" s="972"/>
      <c r="T49" s="1426"/>
      <c r="U49" s="1311"/>
      <c r="V49" s="2510"/>
      <c r="W49" s="2510"/>
      <c r="X49" s="2510"/>
      <c r="Y49" s="2510"/>
      <c r="Z49" s="2510"/>
      <c r="AA49" s="2510"/>
      <c r="AB49" s="2510"/>
      <c r="AC49" s="2511"/>
      <c r="AD49" s="2509"/>
      <c r="AE49" s="2510"/>
      <c r="AF49" s="2510"/>
      <c r="AG49" s="2510"/>
      <c r="AH49" s="2510"/>
      <c r="AI49" s="2510"/>
      <c r="AJ49" s="2510"/>
      <c r="AK49" s="2510"/>
      <c r="AL49" s="2510"/>
      <c r="AM49" s="2510"/>
      <c r="AN49" s="2510"/>
      <c r="AO49" s="2510"/>
      <c r="AP49" s="2510"/>
      <c r="AQ49" s="2510"/>
      <c r="AR49" s="2510"/>
      <c r="AS49" s="2510"/>
      <c r="AT49" s="2510"/>
      <c r="AU49" s="2510"/>
      <c r="AV49" s="2510"/>
      <c r="AW49" s="2510"/>
      <c r="AX49" s="2510"/>
      <c r="AY49" s="2510"/>
      <c r="AZ49" s="2510"/>
      <c r="BA49" s="2510"/>
      <c r="BB49" s="2511"/>
      <c r="BC49" s="1312" t="s">
        <v>409</v>
      </c>
      <c r="BE49" s="437"/>
      <c r="BF49" s="437" t="str">
        <f t="shared" si="3"/>
        <v/>
      </c>
      <c r="BG49" s="437"/>
      <c r="BH49" s="437"/>
      <c r="BI49" s="448">
        <v>0</v>
      </c>
    </row>
    <row r="50" spans="1:61" s="1569" customFormat="1" ht="0" hidden="1" customHeight="1">
      <c r="A50" s="1270" t="s">
        <v>253</v>
      </c>
      <c r="B50" s="1270" t="s">
        <v>254</v>
      </c>
      <c r="C50" s="1270" t="s">
        <v>255</v>
      </c>
      <c r="D50" s="1270" t="s">
        <v>524</v>
      </c>
      <c r="E50" s="2469"/>
      <c r="F50" s="2469"/>
      <c r="G50" s="2469"/>
      <c r="H50" s="2469"/>
      <c r="I50" s="2470" t="str">
        <f>S49&amp;".1"</f>
        <v>.1</v>
      </c>
      <c r="J50" s="1270"/>
      <c r="K50" s="1270"/>
      <c r="L50" s="1273" t="s">
        <v>410</v>
      </c>
      <c r="M50" s="447"/>
      <c r="N50" s="447"/>
      <c r="O50" s="447"/>
      <c r="P50" s="2472">
        <v>1</v>
      </c>
      <c r="Q50" s="1389"/>
      <c r="R50" s="293"/>
      <c r="S50" s="972"/>
      <c r="T50" s="1310"/>
      <c r="U50" s="1311"/>
      <c r="V50" s="2510"/>
      <c r="W50" s="2510"/>
      <c r="X50" s="2510"/>
      <c r="Y50" s="2510"/>
      <c r="Z50" s="2510"/>
      <c r="AA50" s="2510"/>
      <c r="AB50" s="2510"/>
      <c r="AC50" s="2511"/>
      <c r="AD50" s="2509"/>
      <c r="AE50" s="2510"/>
      <c r="AF50" s="2510"/>
      <c r="AG50" s="2510"/>
      <c r="AH50" s="2510"/>
      <c r="AI50" s="2510"/>
      <c r="AJ50" s="2510"/>
      <c r="AK50" s="2510"/>
      <c r="AL50" s="2510"/>
      <c r="AM50" s="2510"/>
      <c r="AN50" s="2510"/>
      <c r="AO50" s="2510"/>
      <c r="AP50" s="2510"/>
      <c r="AQ50" s="2510"/>
      <c r="AR50" s="2510"/>
      <c r="AS50" s="2510"/>
      <c r="AT50" s="2510"/>
      <c r="AU50" s="2510"/>
      <c r="AV50" s="2510"/>
      <c r="AW50" s="2510"/>
      <c r="AX50" s="2510"/>
      <c r="AY50" s="2510"/>
      <c r="AZ50" s="2510"/>
      <c r="BA50" s="2510"/>
      <c r="BB50" s="2511"/>
      <c r="BC50" s="1312"/>
      <c r="BE50" s="437"/>
      <c r="BF50" s="437" t="str">
        <f t="shared" si="3"/>
        <v/>
      </c>
      <c r="BG50" s="437"/>
      <c r="BH50" s="437"/>
      <c r="BI50" s="448">
        <v>0</v>
      </c>
    </row>
    <row r="51" spans="1:61" s="1569" customFormat="1" ht="0" hidden="1" customHeight="1">
      <c r="A51" s="1270" t="s">
        <v>253</v>
      </c>
      <c r="B51" s="1270" t="s">
        <v>254</v>
      </c>
      <c r="C51" s="1270" t="s">
        <v>255</v>
      </c>
      <c r="D51" s="1270" t="s">
        <v>524</v>
      </c>
      <c r="E51" s="2469"/>
      <c r="F51" s="2469"/>
      <c r="G51" s="2469"/>
      <c r="H51" s="2469"/>
      <c r="I51" s="2471"/>
      <c r="J51" s="2470" t="str">
        <f>S49&amp;".1"</f>
        <v>.1</v>
      </c>
      <c r="K51" s="1270"/>
      <c r="L51" s="1273"/>
      <c r="M51" s="447"/>
      <c r="N51" s="447"/>
      <c r="O51" s="447"/>
      <c r="P51" s="2472"/>
      <c r="Q51" s="2472">
        <v>1</v>
      </c>
      <c r="R51" s="294"/>
      <c r="S51" s="972"/>
      <c r="T51" s="1326"/>
      <c r="U51" s="1311"/>
      <c r="V51" s="2510"/>
      <c r="W51" s="2510"/>
      <c r="X51" s="2510"/>
      <c r="Y51" s="2510"/>
      <c r="Z51" s="2510"/>
      <c r="AA51" s="2510"/>
      <c r="AB51" s="2510"/>
      <c r="AC51" s="2511"/>
      <c r="AD51" s="2509"/>
      <c r="AE51" s="2510"/>
      <c r="AF51" s="2510"/>
      <c r="AG51" s="2510"/>
      <c r="AH51" s="2510"/>
      <c r="AI51" s="2510"/>
      <c r="AJ51" s="2510"/>
      <c r="AK51" s="2510"/>
      <c r="AL51" s="2510"/>
      <c r="AM51" s="2510"/>
      <c r="AN51" s="2564"/>
      <c r="AO51" s="2564"/>
      <c r="AP51" s="2510"/>
      <c r="AQ51" s="2510"/>
      <c r="AR51" s="2510"/>
      <c r="AS51" s="2510"/>
      <c r="AT51" s="2510"/>
      <c r="AU51" s="2510"/>
      <c r="AV51" s="2510"/>
      <c r="AW51" s="2510"/>
      <c r="AX51" s="2510"/>
      <c r="AY51" s="2510"/>
      <c r="AZ51" s="2510"/>
      <c r="BA51" s="2510"/>
      <c r="BB51" s="2511"/>
      <c r="BC51" s="1312"/>
      <c r="BE51" s="437"/>
      <c r="BF51" s="437" t="str">
        <f t="shared" si="3"/>
        <v/>
      </c>
      <c r="BG51" s="437"/>
      <c r="BH51" s="437"/>
      <c r="BI51" s="448">
        <v>0</v>
      </c>
    </row>
    <row r="52" spans="1:61" ht="11.45" customHeight="1">
      <c r="A52" s="1290" t="s">
        <v>253</v>
      </c>
      <c r="B52" s="1290" t="s">
        <v>254</v>
      </c>
      <c r="C52" s="1290" t="s">
        <v>255</v>
      </c>
      <c r="D52" s="1290" t="s">
        <v>524</v>
      </c>
      <c r="E52" s="2469"/>
      <c r="F52" s="2469"/>
      <c r="G52" s="2469"/>
      <c r="H52" s="2469"/>
      <c r="I52" s="2471"/>
      <c r="J52" s="2471"/>
      <c r="K52" s="2470" t="str">
        <f>S48&amp;".1"</f>
        <v>...1</v>
      </c>
      <c r="L52" s="1291"/>
      <c r="P52" s="2472"/>
      <c r="Q52" s="2472"/>
      <c r="R52" s="294">
        <v>1</v>
      </c>
      <c r="S52" s="2538" t="str">
        <f>$K52</f>
        <v>...1</v>
      </c>
      <c r="T52" s="2558"/>
      <c r="U52" s="238"/>
      <c r="V52" s="688"/>
      <c r="W52" s="1184"/>
      <c r="X52" s="688"/>
      <c r="Y52" s="1184"/>
      <c r="Z52" s="1660"/>
      <c r="AA52" s="1386" t="s">
        <v>67</v>
      </c>
      <c r="AB52" s="1660"/>
      <c r="AC52" s="1386" t="s">
        <v>67</v>
      </c>
      <c r="AD52" s="2392" t="s">
        <v>67</v>
      </c>
      <c r="AE52" s="2534"/>
      <c r="AF52" s="2425">
        <v>1</v>
      </c>
      <c r="AG52" s="2557"/>
      <c r="AH52" s="2342" t="s">
        <v>67</v>
      </c>
      <c r="AI52" s="2534"/>
      <c r="AJ52" s="2425">
        <v>1</v>
      </c>
      <c r="AK52" s="2548" t="s">
        <v>28</v>
      </c>
      <c r="AL52" s="2342" t="s">
        <v>67</v>
      </c>
      <c r="AM52" s="2402"/>
      <c r="AN52" s="2425">
        <v>1</v>
      </c>
      <c r="AO52" s="2561"/>
      <c r="AP52" s="2562" t="s">
        <v>67</v>
      </c>
      <c r="AQ52" s="249"/>
      <c r="AR52" s="1390">
        <v>1</v>
      </c>
      <c r="AS52" s="1393" t="s">
        <v>28</v>
      </c>
      <c r="AT52" s="688"/>
      <c r="AU52" s="1184"/>
      <c r="AV52" s="688"/>
      <c r="AW52" s="1184"/>
      <c r="AX52" s="1660"/>
      <c r="AY52" s="1386" t="s">
        <v>67</v>
      </c>
      <c r="AZ52" s="1660"/>
      <c r="BA52" s="1386" t="s">
        <v>67</v>
      </c>
      <c r="BB52" s="1275"/>
      <c r="BC52" s="2491" t="s">
        <v>510</v>
      </c>
      <c r="BE52" s="437"/>
      <c r="BF52" s="437" t="str">
        <f t="shared" si="3"/>
        <v/>
      </c>
      <c r="BG52" s="437"/>
      <c r="BH52" s="437"/>
      <c r="BI52" s="1082">
        <v>11</v>
      </c>
    </row>
    <row r="53" spans="1:61" ht="11.45" customHeight="1">
      <c r="A53" s="1290"/>
      <c r="B53" s="1290"/>
      <c r="C53" s="1290"/>
      <c r="D53" s="1290"/>
      <c r="E53" s="2469"/>
      <c r="F53" s="2469"/>
      <c r="G53" s="2469"/>
      <c r="H53" s="2469"/>
      <c r="I53" s="2471"/>
      <c r="J53" s="2471"/>
      <c r="K53" s="2470"/>
      <c r="L53" s="1291"/>
      <c r="P53" s="2472"/>
      <c r="Q53" s="2472"/>
      <c r="R53" s="294"/>
      <c r="S53" s="2539"/>
      <c r="T53" s="2559"/>
      <c r="U53" s="238"/>
      <c r="V53" s="1320"/>
      <c r="W53" s="1423"/>
      <c r="X53" s="1320"/>
      <c r="Y53" s="1423"/>
      <c r="Z53" s="1320"/>
      <c r="AA53" s="1320"/>
      <c r="AB53" s="1320"/>
      <c r="AC53" s="1320"/>
      <c r="AD53" s="2393"/>
      <c r="AE53" s="2534"/>
      <c r="AF53" s="2425"/>
      <c r="AG53" s="2557"/>
      <c r="AH53" s="2342"/>
      <c r="AI53" s="2534"/>
      <c r="AJ53" s="2425"/>
      <c r="AK53" s="2548"/>
      <c r="AL53" s="2342"/>
      <c r="AM53" s="2407"/>
      <c r="AN53" s="2425"/>
      <c r="AO53" s="2561"/>
      <c r="AP53" s="2563"/>
      <c r="AQ53" s="254"/>
      <c r="AR53" s="353"/>
      <c r="AS53" s="353" t="s">
        <v>511</v>
      </c>
      <c r="AT53" s="1320"/>
      <c r="AU53" s="1423"/>
      <c r="AV53" s="1320"/>
      <c r="AW53" s="1423"/>
      <c r="AX53" s="1320"/>
      <c r="AY53" s="1320"/>
      <c r="AZ53" s="1320"/>
      <c r="BA53" s="1320"/>
      <c r="BB53" s="1324"/>
      <c r="BC53" s="2492"/>
      <c r="BE53" s="437"/>
      <c r="BF53" s="437"/>
      <c r="BG53" s="437"/>
      <c r="BH53" s="437"/>
      <c r="BI53" s="1082">
        <v>11</v>
      </c>
    </row>
    <row r="54" spans="1:61" ht="11.45" customHeight="1">
      <c r="A54" s="1290" t="s">
        <v>253</v>
      </c>
      <c r="B54" s="1290"/>
      <c r="C54" s="1290"/>
      <c r="D54" s="1290"/>
      <c r="E54" s="2469"/>
      <c r="F54" s="2469"/>
      <c r="G54" s="2469"/>
      <c r="H54" s="2469"/>
      <c r="I54" s="2471"/>
      <c r="J54" s="2471"/>
      <c r="K54" s="2470"/>
      <c r="L54" s="1291"/>
      <c r="P54" s="2472"/>
      <c r="Q54" s="2472"/>
      <c r="R54" s="294"/>
      <c r="S54" s="2539"/>
      <c r="T54" s="2559"/>
      <c r="U54" s="238"/>
      <c r="V54" s="1320"/>
      <c r="W54" s="1423"/>
      <c r="X54" s="1320"/>
      <c r="Y54" s="1423"/>
      <c r="Z54" s="1320"/>
      <c r="AA54" s="1320"/>
      <c r="AB54" s="1320"/>
      <c r="AC54" s="1320"/>
      <c r="AD54" s="2393"/>
      <c r="AE54" s="2534"/>
      <c r="AF54" s="2425"/>
      <c r="AG54" s="2557"/>
      <c r="AH54" s="2342"/>
      <c r="AI54" s="2534"/>
      <c r="AJ54" s="2425"/>
      <c r="AK54" s="2548"/>
      <c r="AL54" s="2342"/>
      <c r="AM54" s="254"/>
      <c r="AN54" s="1427"/>
      <c r="AO54" s="1427" t="s">
        <v>512</v>
      </c>
      <c r="AP54" s="353"/>
      <c r="AQ54" s="353"/>
      <c r="AR54" s="353"/>
      <c r="AS54" s="1320"/>
      <c r="AT54" s="1320"/>
      <c r="AU54" s="1423"/>
      <c r="AV54" s="1320"/>
      <c r="AW54" s="1423"/>
      <c r="AX54" s="1320"/>
      <c r="AY54" s="1320"/>
      <c r="AZ54" s="1320"/>
      <c r="BA54" s="1320"/>
      <c r="BB54" s="1324"/>
      <c r="BC54" s="2492"/>
      <c r="BE54" s="437"/>
      <c r="BF54" s="437"/>
      <c r="BG54" s="437"/>
      <c r="BH54" s="437"/>
      <c r="BI54" s="1082">
        <v>11</v>
      </c>
    </row>
    <row r="55" spans="1:61" ht="11.45" customHeight="1">
      <c r="A55" s="1290" t="s">
        <v>253</v>
      </c>
      <c r="B55" s="1290"/>
      <c r="C55" s="1290"/>
      <c r="D55" s="1290"/>
      <c r="E55" s="2469"/>
      <c r="F55" s="2469"/>
      <c r="G55" s="2469"/>
      <c r="H55" s="2469"/>
      <c r="I55" s="2471"/>
      <c r="J55" s="2471"/>
      <c r="K55" s="2470"/>
      <c r="L55" s="1291"/>
      <c r="P55" s="2472"/>
      <c r="Q55" s="2472"/>
      <c r="R55" s="294"/>
      <c r="S55" s="2539"/>
      <c r="T55" s="2559"/>
      <c r="U55" s="238"/>
      <c r="V55" s="1320"/>
      <c r="W55" s="1423"/>
      <c r="X55" s="1320"/>
      <c r="Y55" s="1423"/>
      <c r="Z55" s="1320"/>
      <c r="AA55" s="1320"/>
      <c r="AB55" s="1320"/>
      <c r="AC55" s="1320"/>
      <c r="AD55" s="2393"/>
      <c r="AE55" s="2534"/>
      <c r="AF55" s="2425"/>
      <c r="AG55" s="2557"/>
      <c r="AH55" s="2342"/>
      <c r="AI55" s="232"/>
      <c r="AJ55" s="352"/>
      <c r="AK55" s="251" t="s">
        <v>513</v>
      </c>
      <c r="AL55" s="1320"/>
      <c r="AM55" s="1320"/>
      <c r="AN55" s="1320"/>
      <c r="AO55" s="1320"/>
      <c r="AP55" s="1320"/>
      <c r="AQ55" s="1320"/>
      <c r="AR55" s="1320"/>
      <c r="AS55" s="1320"/>
      <c r="AT55" s="1320"/>
      <c r="AU55" s="1423"/>
      <c r="AV55" s="1320"/>
      <c r="AW55" s="1423"/>
      <c r="AX55" s="1320"/>
      <c r="AY55" s="1320"/>
      <c r="AZ55" s="1320"/>
      <c r="BA55" s="1320"/>
      <c r="BB55" s="1324"/>
      <c r="BC55" s="2492"/>
      <c r="BE55" s="437"/>
      <c r="BF55" s="437"/>
      <c r="BG55" s="437"/>
      <c r="BH55" s="437"/>
      <c r="BI55" s="1082">
        <v>11</v>
      </c>
    </row>
    <row r="56" spans="1:61" ht="11.45" customHeight="1">
      <c r="A56" s="1290" t="s">
        <v>253</v>
      </c>
      <c r="B56" s="1290" t="s">
        <v>254</v>
      </c>
      <c r="C56" s="1290" t="s">
        <v>255</v>
      </c>
      <c r="D56" s="1290" t="s">
        <v>524</v>
      </c>
      <c r="E56" s="2469"/>
      <c r="F56" s="2469"/>
      <c r="G56" s="2469"/>
      <c r="H56" s="2469"/>
      <c r="I56" s="2471"/>
      <c r="J56" s="2471"/>
      <c r="K56" s="2470"/>
      <c r="L56" s="1291"/>
      <c r="P56" s="2472"/>
      <c r="Q56" s="2472"/>
      <c r="R56" s="294"/>
      <c r="S56" s="2540"/>
      <c r="T56" s="2560"/>
      <c r="U56" s="238"/>
      <c r="V56" s="1320"/>
      <c r="W56" s="1321" t="str">
        <f>Z52&amp;"-"&amp;AB52</f>
        <v>-</v>
      </c>
      <c r="X56" s="1320"/>
      <c r="Y56" s="1321" t="str">
        <f>AB52&amp;"-"&amp;AD52</f>
        <v>-да</v>
      </c>
      <c r="Z56" s="1320"/>
      <c r="AA56" s="1320"/>
      <c r="AB56" s="1320"/>
      <c r="AC56" s="1320"/>
      <c r="AD56" s="2347"/>
      <c r="AE56" s="250"/>
      <c r="AF56" s="252"/>
      <c r="AG56" s="353" t="s">
        <v>514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492"/>
      <c r="BE56" s="437"/>
      <c r="BF56" s="437" t="str">
        <f t="shared" ref="BF56:BF63" si="4">IF(T56="","",T56)</f>
        <v/>
      </c>
      <c r="BG56" s="437"/>
      <c r="BH56" s="437"/>
      <c r="BI56" s="1082">
        <v>11</v>
      </c>
    </row>
    <row r="57" spans="1:61" ht="11.45" customHeight="1">
      <c r="A57" s="1290" t="s">
        <v>253</v>
      </c>
      <c r="B57" s="1290" t="s">
        <v>254</v>
      </c>
      <c r="C57" s="1290" t="s">
        <v>255</v>
      </c>
      <c r="D57" s="1290" t="s">
        <v>524</v>
      </c>
      <c r="E57" s="2469"/>
      <c r="F57" s="2469"/>
      <c r="G57" s="2469"/>
      <c r="H57" s="2469"/>
      <c r="I57" s="2471"/>
      <c r="J57" s="2470"/>
      <c r="K57" s="1290"/>
      <c r="L57" s="1291"/>
      <c r="P57" s="2472"/>
      <c r="Q57" s="2472"/>
      <c r="R57" s="293"/>
      <c r="S57" s="1205"/>
      <c r="T57" s="225" t="s">
        <v>477</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493"/>
      <c r="BE57" s="437"/>
      <c r="BF57" s="437" t="str">
        <f t="shared" si="4"/>
        <v>Добавить строку</v>
      </c>
      <c r="BG57" s="437"/>
      <c r="BH57" s="437"/>
      <c r="BI57" s="1082">
        <v>11</v>
      </c>
    </row>
    <row r="58" spans="1:61" s="1569" customFormat="1" ht="0" hidden="1" customHeight="1">
      <c r="A58" s="1270" t="s">
        <v>253</v>
      </c>
      <c r="B58" s="1270" t="s">
        <v>254</v>
      </c>
      <c r="C58" s="1270" t="s">
        <v>255</v>
      </c>
      <c r="D58" s="1270" t="s">
        <v>524</v>
      </c>
      <c r="E58" s="2469"/>
      <c r="F58" s="2469"/>
      <c r="G58" s="2469"/>
      <c r="H58" s="2469"/>
      <c r="I58" s="2470"/>
      <c r="J58" s="1270"/>
      <c r="K58" s="1270"/>
      <c r="L58" s="1273"/>
      <c r="M58" s="447"/>
      <c r="N58" s="447"/>
      <c r="O58" s="447"/>
      <c r="P58" s="2472"/>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253</v>
      </c>
      <c r="B59" s="1270" t="s">
        <v>254</v>
      </c>
      <c r="C59" s="1270" t="s">
        <v>255</v>
      </c>
      <c r="D59" s="1270" t="s">
        <v>524</v>
      </c>
      <c r="E59" s="2469"/>
      <c r="F59" s="2469"/>
      <c r="G59" s="2469"/>
      <c r="H59" s="2468"/>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253</v>
      </c>
      <c r="B60" s="1270" t="s">
        <v>254</v>
      </c>
      <c r="C60" s="1270" t="s">
        <v>255</v>
      </c>
      <c r="D60" s="1241"/>
      <c r="E60" s="2469"/>
      <c r="F60" s="2469"/>
      <c r="G60" s="2468"/>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253</v>
      </c>
      <c r="B61" s="1270" t="s">
        <v>254</v>
      </c>
      <c r="C61" s="1241"/>
      <c r="D61" s="1241"/>
      <c r="E61" s="2469"/>
      <c r="F61" s="2468"/>
      <c r="G61" s="1241"/>
      <c r="H61" s="1241"/>
      <c r="I61" s="1241"/>
      <c r="J61" s="1241"/>
      <c r="K61" s="1241"/>
      <c r="L61" s="1391"/>
      <c r="M61" s="1248"/>
      <c r="N61" s="1248"/>
      <c r="P61" s="1243"/>
      <c r="Q61" s="1244"/>
      <c r="R61" s="1243"/>
      <c r="S61" s="1249"/>
      <c r="T61" s="1252" t="s">
        <v>170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253</v>
      </c>
      <c r="B62" s="1270"/>
      <c r="C62" s="1270"/>
      <c r="D62" s="1270"/>
      <c r="E62" s="2468"/>
      <c r="F62" s="1270"/>
      <c r="G62" s="1270"/>
      <c r="H62" s="1270"/>
      <c r="I62" s="1270"/>
      <c r="J62" s="1270"/>
      <c r="K62" s="1270"/>
      <c r="L62" s="1273"/>
      <c r="M62" s="1248"/>
      <c r="N62" s="1248"/>
      <c r="O62" s="455"/>
      <c r="P62" s="317"/>
      <c r="Q62" s="1271"/>
      <c r="R62" s="317"/>
      <c r="S62" s="1249"/>
      <c r="T62" s="1252" t="s">
        <v>171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172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467"/>
      <c r="U65" s="2467"/>
      <c r="V65" s="2467"/>
      <c r="W65" s="2467"/>
      <c r="X65" s="2467"/>
      <c r="Y65" s="2467"/>
      <c r="Z65" s="2467"/>
      <c r="AA65" s="2467"/>
      <c r="AB65" s="2467"/>
      <c r="AC65" s="2467"/>
      <c r="AD65" s="2467"/>
      <c r="AE65" s="2467"/>
      <c r="AF65" s="2467"/>
      <c r="AG65" s="2467"/>
      <c r="AH65" s="2467"/>
      <c r="AI65" s="2467"/>
      <c r="AJ65" s="2467"/>
      <c r="AK65" s="2467"/>
      <c r="AL65" s="2467"/>
      <c r="AM65" s="2467"/>
      <c r="AN65" s="2467"/>
      <c r="AO65" s="2467"/>
      <c r="AP65" s="2467"/>
      <c r="AQ65" s="2467"/>
      <c r="AR65" s="2467"/>
      <c r="AS65" s="2467"/>
      <c r="AT65" s="2467"/>
      <c r="AU65" s="2467"/>
      <c r="AV65" s="2467"/>
      <c r="AW65" s="2467"/>
      <c r="AX65" s="2467"/>
      <c r="AY65" s="2467"/>
      <c r="AZ65" s="2467"/>
      <c r="BA65" s="2467"/>
      <c r="BB65" s="2467"/>
      <c r="BC65" s="2467"/>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467"/>
      <c r="U67" s="2467"/>
      <c r="V67" s="2467"/>
      <c r="W67" s="2467"/>
      <c r="X67" s="2467"/>
      <c r="Y67" s="2467"/>
      <c r="Z67" s="2467"/>
      <c r="AA67" s="2467"/>
      <c r="AB67" s="2467"/>
      <c r="AC67" s="2467"/>
      <c r="AD67" s="2467"/>
      <c r="AE67" s="2467"/>
      <c r="AF67" s="2467"/>
      <c r="AG67" s="2467"/>
      <c r="AH67" s="2467"/>
      <c r="AI67" s="2467"/>
      <c r="AJ67" s="2467"/>
      <c r="AK67" s="2467"/>
      <c r="AL67" s="2467"/>
      <c r="AM67" s="2467"/>
      <c r="AN67" s="2467"/>
      <c r="AO67" s="2467"/>
      <c r="AP67" s="2467"/>
      <c r="AQ67" s="2467"/>
      <c r="AR67" s="2467"/>
      <c r="AS67" s="2467"/>
      <c r="AT67" s="2467"/>
      <c r="AU67" s="2467"/>
      <c r="AV67" s="2467"/>
      <c r="AW67" s="2467"/>
      <c r="AX67" s="2467"/>
      <c r="AY67" s="2467"/>
      <c r="AZ67" s="2467"/>
      <c r="BA67" s="2467"/>
      <c r="BB67" s="2467"/>
      <c r="BC67" s="2467"/>
      <c r="BI67" s="1082">
        <v>19</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D10EF-2CD3-D385-A166-1BAE3C3F07F4}">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2" customWidth="1"/>
    <col min="19" max="19" width="12" style="2009"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468">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462"/>
      <c r="W2" s="2463"/>
      <c r="X2" s="2463"/>
      <c r="Y2" s="2463"/>
      <c r="Z2" s="2463"/>
      <c r="AA2" s="2463"/>
      <c r="AB2" s="2464"/>
      <c r="AC2" s="2462" t="e">
        <f>INDEX(PT_DIFFERENTIATION_NTAR,MATCH(A2,PT_DIFFERENTIATION_NTAR_ID,0))</f>
        <v>#N/A</v>
      </c>
      <c r="AD2" s="2463"/>
      <c r="AE2" s="2463"/>
      <c r="AF2" s="2463"/>
      <c r="AG2" s="2463"/>
      <c r="AH2" s="2463"/>
      <c r="AI2" s="2463"/>
      <c r="AJ2" s="246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469"/>
      <c r="F3" s="2468">
        <v>1</v>
      </c>
      <c r="G3" s="1290"/>
      <c r="H3" s="1290"/>
      <c r="I3" s="1290"/>
      <c r="J3" s="1290"/>
      <c r="K3" s="1290"/>
      <c r="L3" s="1291"/>
      <c r="M3" s="1292"/>
      <c r="N3" s="1292"/>
      <c r="O3" s="1292"/>
      <c r="P3" s="1414"/>
      <c r="Q3" s="289"/>
      <c r="R3" s="290"/>
      <c r="S3" s="1420" t="e">
        <f>INDEX(PT_DIFFERENTIATION_NUM_TER,MATCH(B3,PT_DIFFERENTIATION_TER_ID,0))</f>
        <v>#N/A</v>
      </c>
      <c r="T3" s="246" t="s">
        <v>404</v>
      </c>
      <c r="U3" s="238"/>
      <c r="V3" s="2462"/>
      <c r="W3" s="2463"/>
      <c r="X3" s="2463"/>
      <c r="Y3" s="2463"/>
      <c r="Z3" s="2463"/>
      <c r="AA3" s="2463"/>
      <c r="AB3" s="2464"/>
      <c r="AC3" s="2462" t="e">
        <f>INDEX(PT_DIFFERENTIATION_TER,MATCH(B3,PT_DIFFERENTIATION_TER_ID,0))</f>
        <v>#N/A</v>
      </c>
      <c r="AD3" s="2463"/>
      <c r="AE3" s="2463"/>
      <c r="AF3" s="2463"/>
      <c r="AG3" s="2463"/>
      <c r="AH3" s="2463"/>
      <c r="AI3" s="2463"/>
      <c r="AJ3" s="2464"/>
      <c r="AK3" s="1185" t="s">
        <v>405</v>
      </c>
      <c r="AM3" s="437"/>
      <c r="AN3" s="437" t="str">
        <f t="shared" si="0"/>
        <v>Территория действия тарифа</v>
      </c>
      <c r="AO3" s="437"/>
      <c r="AP3" s="437"/>
      <c r="AQ3" s="1082">
        <v>0</v>
      </c>
    </row>
    <row r="4" spans="1:43" ht="23.25" hidden="1" customHeight="1">
      <c r="A4" s="1290"/>
      <c r="B4" s="1290"/>
      <c r="C4" s="1290"/>
      <c r="D4" s="1290"/>
      <c r="E4" s="2469"/>
      <c r="F4" s="2469"/>
      <c r="G4" s="2468">
        <v>1</v>
      </c>
      <c r="H4" s="1290"/>
      <c r="I4" s="1290"/>
      <c r="J4" s="1290"/>
      <c r="K4" s="1290"/>
      <c r="L4" s="1291"/>
      <c r="M4" s="1292"/>
      <c r="N4" s="1292"/>
      <c r="O4" s="1292"/>
      <c r="P4" s="291"/>
      <c r="Q4" s="289"/>
      <c r="R4" s="290"/>
      <c r="S4" s="1420" t="e">
        <f>INDEX(PT_DIFFERENTIATION_NUM_CS,MATCH(C4,PT_DIFFERENTIATION_CS_ID,0))</f>
        <v>#N/A</v>
      </c>
      <c r="T4" s="247" t="s">
        <v>525</v>
      </c>
      <c r="U4" s="238"/>
      <c r="V4" s="2462"/>
      <c r="W4" s="2463"/>
      <c r="X4" s="2463"/>
      <c r="Y4" s="2463"/>
      <c r="Z4" s="2463"/>
      <c r="AA4" s="2463"/>
      <c r="AB4" s="2464"/>
      <c r="AC4" s="2462" t="e">
        <f>INDEX(PT_DIFFERENTIATION_CS,MATCH(C4,PT_DIFFERENTIATION_CS_ID,0))</f>
        <v>#N/A</v>
      </c>
      <c r="AD4" s="2463"/>
      <c r="AE4" s="2463"/>
      <c r="AF4" s="2463"/>
      <c r="AG4" s="2463"/>
      <c r="AH4" s="2463"/>
      <c r="AI4" s="2463"/>
      <c r="AJ4" s="2464"/>
      <c r="AK4" s="1185" t="s">
        <v>526</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469"/>
      <c r="F5" s="2469"/>
      <c r="G5" s="2469"/>
      <c r="H5" s="2469"/>
      <c r="I5" s="2470" t="e">
        <f>S4&amp;".1"</f>
        <v>#N/A</v>
      </c>
      <c r="J5" s="1290"/>
      <c r="K5" s="1290"/>
      <c r="L5" s="1291"/>
      <c r="P5" s="2472">
        <v>1</v>
      </c>
      <c r="Q5" s="1408"/>
      <c r="R5" s="293"/>
      <c r="S5" s="1420" t="e">
        <f>$I5</f>
        <v>#N/A</v>
      </c>
      <c r="T5" s="223" t="s">
        <v>492</v>
      </c>
      <c r="U5" s="238"/>
      <c r="V5" s="2549"/>
      <c r="W5" s="2550"/>
      <c r="X5" s="2550"/>
      <c r="Y5" s="2550"/>
      <c r="Z5" s="2550"/>
      <c r="AA5" s="2550"/>
      <c r="AB5" s="2551"/>
      <c r="AC5" s="2552"/>
      <c r="AD5" s="2553"/>
      <c r="AE5" s="2553"/>
      <c r="AF5" s="2553"/>
      <c r="AG5" s="2553"/>
      <c r="AH5" s="2553"/>
      <c r="AI5" s="2553"/>
      <c r="AJ5" s="2554"/>
      <c r="AK5" s="1185" t="s">
        <v>493</v>
      </c>
      <c r="AM5" s="437"/>
      <c r="AN5" s="437" t="str">
        <f t="shared" si="0"/>
        <v>Наименование признака дифференциации</v>
      </c>
      <c r="AO5" s="437"/>
      <c r="AP5" s="437"/>
      <c r="AQ5" s="1082">
        <v>0</v>
      </c>
    </row>
    <row r="6" spans="1:43" ht="23.25" hidden="1" customHeight="1">
      <c r="A6" s="1290"/>
      <c r="B6" s="1290"/>
      <c r="C6" s="1290"/>
      <c r="D6" s="1290"/>
      <c r="E6" s="2469"/>
      <c r="F6" s="2469"/>
      <c r="G6" s="2469"/>
      <c r="H6" s="2469"/>
      <c r="I6" s="2471"/>
      <c r="J6" s="2470" t="e">
        <f>I5&amp;".1"</f>
        <v>#N/A</v>
      </c>
      <c r="K6" s="1290"/>
      <c r="L6" s="1291" t="s">
        <v>413</v>
      </c>
      <c r="P6" s="2472"/>
      <c r="Q6" s="2472">
        <v>1</v>
      </c>
      <c r="R6" s="294"/>
      <c r="S6" s="1420" t="e">
        <f>$J6</f>
        <v>#N/A</v>
      </c>
      <c r="T6" s="224" t="s">
        <v>414</v>
      </c>
      <c r="U6" s="238"/>
      <c r="V6" s="2456"/>
      <c r="W6" s="2457"/>
      <c r="X6" s="2457"/>
      <c r="Y6" s="2457"/>
      <c r="Z6" s="2457"/>
      <c r="AA6" s="2457"/>
      <c r="AB6" s="2458"/>
      <c r="AC6" s="2456"/>
      <c r="AD6" s="2457"/>
      <c r="AE6" s="2457"/>
      <c r="AF6" s="2457"/>
      <c r="AG6" s="2457"/>
      <c r="AH6" s="2457"/>
      <c r="AI6" s="2457"/>
      <c r="AJ6" s="2458"/>
      <c r="AK6" s="1234" t="s">
        <v>494</v>
      </c>
      <c r="AM6" s="437"/>
      <c r="AN6" s="437" t="str">
        <f t="shared" si="0"/>
        <v>Группа потребителей</v>
      </c>
      <c r="AO6" s="437"/>
      <c r="AP6" s="437"/>
      <c r="AQ6" s="1082">
        <v>0</v>
      </c>
    </row>
    <row r="7" spans="1:43" ht="23.25" hidden="1" customHeight="1">
      <c r="A7" s="1290"/>
      <c r="B7" s="1290"/>
      <c r="C7" s="1290"/>
      <c r="D7" s="1290"/>
      <c r="E7" s="2469"/>
      <c r="F7" s="2469"/>
      <c r="G7" s="2469"/>
      <c r="H7" s="2469"/>
      <c r="I7" s="2471"/>
      <c r="J7" s="2471"/>
      <c r="K7" s="2470" t="e">
        <f>J6&amp;".1"</f>
        <v>#N/A</v>
      </c>
      <c r="L7" s="1291"/>
      <c r="P7" s="2472"/>
      <c r="Q7" s="2472"/>
      <c r="R7" s="294">
        <v>1</v>
      </c>
      <c r="S7" s="1420" t="e">
        <f>$K7</f>
        <v>#N/A</v>
      </c>
      <c r="T7" s="1364"/>
      <c r="U7" s="238"/>
      <c r="V7" s="688"/>
      <c r="W7" s="688"/>
      <c r="X7" s="1184"/>
      <c r="Y7" s="2473"/>
      <c r="Z7" s="2342" t="s">
        <v>67</v>
      </c>
      <c r="AA7" s="2473"/>
      <c r="AB7" s="2342" t="s">
        <v>67</v>
      </c>
      <c r="AC7" s="688"/>
      <c r="AD7" s="688"/>
      <c r="AE7" s="1184"/>
      <c r="AF7" s="2473"/>
      <c r="AG7" s="2342" t="s">
        <v>67</v>
      </c>
      <c r="AH7" s="2475"/>
      <c r="AI7" s="2342" t="s">
        <v>67</v>
      </c>
      <c r="AJ7" s="1365"/>
      <c r="AK7" s="25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469"/>
      <c r="F8" s="2469"/>
      <c r="G8" s="2469"/>
      <c r="H8" s="2469"/>
      <c r="I8" s="2471"/>
      <c r="J8" s="2471"/>
      <c r="K8" s="2470"/>
      <c r="L8" s="1291"/>
      <c r="P8" s="2472"/>
      <c r="Q8" s="2472"/>
      <c r="R8" s="294"/>
      <c r="S8" s="1417"/>
      <c r="T8" s="238"/>
      <c r="U8" s="238"/>
      <c r="V8" s="263"/>
      <c r="W8" s="263"/>
      <c r="X8" s="266" t="str">
        <f>Y7&amp;"-"&amp;AA7</f>
        <v>-</v>
      </c>
      <c r="Y8" s="2474"/>
      <c r="Z8" s="2342"/>
      <c r="AA8" s="2474"/>
      <c r="AB8" s="2342"/>
      <c r="AC8" s="263"/>
      <c r="AD8" s="263"/>
      <c r="AE8" s="266" t="str">
        <f>AF7&amp;"-"&amp;AH7</f>
        <v>-</v>
      </c>
      <c r="AF8" s="2474"/>
      <c r="AG8" s="2342"/>
      <c r="AH8" s="2476"/>
      <c r="AI8" s="2342"/>
      <c r="AJ8" s="1366"/>
      <c r="AK8" s="2555"/>
      <c r="AM8" s="437"/>
      <c r="AN8" s="437" t="str">
        <f t="shared" si="0"/>
        <v/>
      </c>
      <c r="AO8" s="437"/>
      <c r="AP8" s="437"/>
      <c r="AQ8" s="1082">
        <v>0</v>
      </c>
    </row>
    <row r="9" spans="1:43" ht="21" hidden="1" customHeight="1">
      <c r="A9" s="1290"/>
      <c r="B9" s="1290"/>
      <c r="C9" s="1290"/>
      <c r="D9" s="1290"/>
      <c r="E9" s="2469"/>
      <c r="F9" s="2469"/>
      <c r="G9" s="2469"/>
      <c r="H9" s="2469"/>
      <c r="I9" s="2471"/>
      <c r="J9" s="2470"/>
      <c r="K9" s="1290"/>
      <c r="L9" s="1291"/>
      <c r="P9" s="2472"/>
      <c r="Q9" s="2472"/>
      <c r="R9" s="293"/>
      <c r="S9" s="1205"/>
      <c r="T9" s="225" t="s">
        <v>495</v>
      </c>
      <c r="U9" s="304"/>
      <c r="V9" s="304"/>
      <c r="W9" s="304"/>
      <c r="X9" s="304"/>
      <c r="Y9" s="304"/>
      <c r="Z9" s="304"/>
      <c r="AA9" s="304"/>
      <c r="AB9" s="304"/>
      <c r="AC9" s="304"/>
      <c r="AD9" s="304"/>
      <c r="AE9" s="304"/>
      <c r="AF9" s="304"/>
      <c r="AG9" s="304"/>
      <c r="AH9" s="304"/>
      <c r="AI9" s="304"/>
      <c r="AJ9" s="304"/>
      <c r="AK9" s="1185" t="s">
        <v>496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469"/>
      <c r="F10" s="2469"/>
      <c r="G10" s="2469"/>
      <c r="H10" s="2469"/>
      <c r="I10" s="2470"/>
      <c r="J10" s="1290"/>
      <c r="K10" s="1290"/>
      <c r="L10" s="1291"/>
      <c r="P10" s="2472"/>
      <c r="Q10" s="1408"/>
      <c r="R10" s="293"/>
      <c r="S10" s="1205"/>
      <c r="T10" s="302" t="s">
        <v>419</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469"/>
      <c r="F11" s="2469"/>
      <c r="G11" s="2469"/>
      <c r="H11" s="2468"/>
      <c r="I11" s="1290"/>
      <c r="J11" s="1290"/>
      <c r="K11" s="1290"/>
      <c r="L11" s="1291"/>
      <c r="M11" s="1292"/>
      <c r="N11" s="1292"/>
      <c r="O11" s="474"/>
      <c r="P11" s="297"/>
      <c r="Q11" s="312"/>
      <c r="R11" s="292"/>
      <c r="S11" s="1205"/>
      <c r="T11" s="309" t="s">
        <v>497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469"/>
      <c r="F12" s="2468"/>
      <c r="G12" s="1241"/>
      <c r="H12" s="1241"/>
      <c r="I12" s="1241"/>
      <c r="J12" s="1241"/>
      <c r="K12" s="1241"/>
      <c r="L12" s="1421"/>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468"/>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466"/>
      <c r="AG15" s="2465" t="s">
        <v>67</v>
      </c>
      <c r="AH15" s="2466"/>
      <c r="AI15" s="2465" t="s">
        <v>67</v>
      </c>
      <c r="AQ15" s="1082">
        <v>0</v>
      </c>
    </row>
    <row r="16" spans="1:43" ht="14.25" hidden="1" customHeight="1">
      <c r="AC16" s="1287"/>
      <c r="AD16" s="1287"/>
      <c r="AE16" s="266" t="str">
        <f>AF15&amp;"-"&amp;AH15</f>
        <v>-</v>
      </c>
      <c r="AF16" s="2465"/>
      <c r="AG16" s="2465"/>
      <c r="AH16" s="2465"/>
      <c r="AI16" s="2465"/>
      <c r="AQ16" s="1082">
        <v>0</v>
      </c>
    </row>
    <row r="17" spans="1:43" ht="14.25" hidden="1" customHeight="1">
      <c r="AI17" s="265"/>
      <c r="AQ17" s="1082">
        <v>0</v>
      </c>
    </row>
    <row r="18" spans="1:43" s="1293" customFormat="1" ht="22.5" hidden="1" customHeight="1">
      <c r="L18" s="1405"/>
      <c r="M18" s="1289"/>
      <c r="N18" s="1289"/>
      <c r="O18" s="1294" t="s">
        <v>421</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422</v>
      </c>
      <c r="P20" s="1289"/>
      <c r="Q20" s="1369"/>
      <c r="R20" s="1369"/>
      <c r="S20" s="666"/>
      <c r="T20" s="1087" t="s">
        <v>423</v>
      </c>
      <c r="Z20" s="124" t="s">
        <v>424</v>
      </c>
      <c r="AB20" s="124" t="s">
        <v>425</v>
      </c>
      <c r="AC20" s="1087" t="s">
        <v>423</v>
      </c>
      <c r="AG20" s="124" t="s">
        <v>426</v>
      </c>
      <c r="AI20" s="124" t="s">
        <v>425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4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49"/>
      <c r="U24" s="2449"/>
      <c r="V24" s="2449"/>
      <c r="W24" s="2449"/>
      <c r="X24" s="2449"/>
      <c r="Y24" s="2449"/>
      <c r="Z24" s="2449"/>
      <c r="AA24" s="2449"/>
      <c r="AB24" s="2449"/>
      <c r="AC24" s="2449"/>
      <c r="AD24" s="2449"/>
      <c r="AE24" s="2449"/>
      <c r="AF24" s="2449"/>
      <c r="AG24" s="2449"/>
      <c r="AH24" s="2449"/>
      <c r="AI24" s="1170"/>
      <c r="AQ24" s="1082">
        <v>14</v>
      </c>
    </row>
    <row r="25" spans="1:43" ht="14.65" customHeight="1">
      <c r="Q25" s="313"/>
      <c r="R25" s="313"/>
      <c r="S25" s="2421" t="str">
        <f>IF(org=0,"Не определено",org)</f>
        <v>МУП "Городские тепловые сети" МО  "город Курчатов"</v>
      </c>
      <c r="T25" s="2421"/>
      <c r="U25" s="2421"/>
      <c r="V25" s="2421"/>
      <c r="W25" s="2421"/>
      <c r="X25" s="2421"/>
      <c r="Y25" s="2421"/>
      <c r="Z25" s="2421"/>
      <c r="AA25" s="2421"/>
      <c r="AB25" s="2421"/>
      <c r="AC25" s="2421"/>
      <c r="AD25" s="2421"/>
      <c r="AE25" s="2421"/>
      <c r="AF25" s="2421"/>
      <c r="AG25" s="2421"/>
      <c r="AH25" s="2421"/>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459" t="s">
        <v>42</v>
      </c>
      <c r="T27" s="2459"/>
      <c r="U27" s="1299"/>
      <c r="V27" s="2461" t="str">
        <f>IF(TITLE_NAME_OR_PR_CHANGE="",IF(TITLE_NAME_OR_PR="","",TITLE_NAME_OR_PR),TITLE_NAME_OR_PR_CHANGE)</f>
        <v/>
      </c>
      <c r="W27" s="2461"/>
      <c r="X27" s="2461"/>
      <c r="Y27" s="2461"/>
      <c r="Z27" s="2461"/>
      <c r="AA27" s="2461"/>
      <c r="AB27" s="264"/>
      <c r="AC27" s="2461" t="str">
        <f>IF(TITLE_NAME_OR_PR_CHANGE="",IF(TITLE_NAME_OR_PR="","",TITLE_NAME_OR_PR),TITLE_NAME_OR_PR_CHANGE)</f>
        <v/>
      </c>
      <c r="AD27" s="2461"/>
      <c r="AE27" s="2461"/>
      <c r="AF27" s="2461"/>
      <c r="AG27" s="2461"/>
      <c r="AH27" s="2461"/>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459" t="s">
        <v>427</v>
      </c>
      <c r="T28" s="2459"/>
      <c r="U28" s="1299"/>
      <c r="V28" s="2460">
        <f>IF(TITLE_DATE_PR_CHANGE="",IF(TITLE_DATE_PR="","",TITLE_DATE_PR),TITLE_DATE_PR_CHANGE)</f>
        <v>45775</v>
      </c>
      <c r="W28" s="2460"/>
      <c r="X28" s="2460"/>
      <c r="Y28" s="2460"/>
      <c r="Z28" s="2460"/>
      <c r="AA28" s="2460"/>
      <c r="AB28" s="264"/>
      <c r="AC28" s="2460">
        <f>IF(TITLE_DATE_PR_CHANGE="",IF(TITLE_DATE_PR="","",TITLE_DATE_PR),TITLE_DATE_PR_CHANGE)</f>
        <v>45775</v>
      </c>
      <c r="AD28" s="2460"/>
      <c r="AE28" s="2460"/>
      <c r="AF28" s="2460"/>
      <c r="AG28" s="2460"/>
      <c r="AH28" s="2460"/>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459" t="s">
        <v>428</v>
      </c>
      <c r="T29" s="2459"/>
      <c r="U29" s="1299"/>
      <c r="V29" s="2461" t="str">
        <f>IF(TITLE_NUMBER_PR_CHANGE="",IF(TITLE_NUMBER_PR="","",TITLE_NUMBER_PR),TITLE_NUMBER_PR_CHANGE)</f>
        <v>03.5-1382</v>
      </c>
      <c r="W29" s="2461"/>
      <c r="X29" s="2461"/>
      <c r="Y29" s="2461"/>
      <c r="Z29" s="2461"/>
      <c r="AA29" s="2461"/>
      <c r="AB29" s="264"/>
      <c r="AC29" s="2461" t="str">
        <f>IF(TITLE_NUMBER_PR_CHANGE="",IF(TITLE_NUMBER_PR="","",TITLE_NUMBER_PR),TITLE_NUMBER_PR_CHANGE)</f>
        <v>03.5-1382</v>
      </c>
      <c r="AD29" s="2461"/>
      <c r="AE29" s="2461"/>
      <c r="AF29" s="2461"/>
      <c r="AG29" s="2461"/>
      <c r="AH29" s="2461"/>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459" t="s">
        <v>43</v>
      </c>
      <c r="T30" s="2459"/>
      <c r="U30" s="1299"/>
      <c r="V30" s="2461" t="str">
        <f>IF(TITLE_IST_PUB_CHANGE="",IF(TITLE_IST_PUB="","",TITLE_IST_PUB),TITLE_IST_PUB_CHANGE)</f>
        <v/>
      </c>
      <c r="W30" s="2461"/>
      <c r="X30" s="2461"/>
      <c r="Y30" s="2461"/>
      <c r="Z30" s="2461"/>
      <c r="AA30" s="2461"/>
      <c r="AB30" s="264"/>
      <c r="AC30" s="2461" t="str">
        <f>IF(TITLE_IST_PUB_CHANGE="",IF(TITLE_IST_PUB="","",TITLE_IST_PUB),TITLE_IST_PUB_CHANGE)</f>
        <v/>
      </c>
      <c r="AD30" s="2461"/>
      <c r="AE30" s="2461"/>
      <c r="AF30" s="2461"/>
      <c r="AG30" s="2461"/>
      <c r="AH30" s="2461"/>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459" t="s">
        <v>429</v>
      </c>
      <c r="T32" s="2459"/>
      <c r="U32" s="1299"/>
      <c r="V32" s="2460">
        <f>IF(TITLE_DATE_PR_CHANGE="",IF(TITLE_DATE_PR="","",TITLE_DATE_PR),TITLE_DATE_PR_CHANGE)</f>
        <v>45775</v>
      </c>
      <c r="W32" s="2460"/>
      <c r="X32" s="2460"/>
      <c r="Y32" s="2460"/>
      <c r="Z32" s="2460"/>
      <c r="AA32" s="2460"/>
      <c r="AB32" s="264"/>
      <c r="AC32" s="2460">
        <f>IF(TITLE_DATE_PR_CHANGE="",IF(TITLE_DATE_PR="","",TITLE_DATE_PR),TITLE_DATE_PR_CHANGE)</f>
        <v>45775</v>
      </c>
      <c r="AD32" s="2460"/>
      <c r="AE32" s="2460"/>
      <c r="AF32" s="2460"/>
      <c r="AG32" s="2460"/>
      <c r="AH32" s="2460"/>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459" t="s">
        <v>430</v>
      </c>
      <c r="T33" s="2459"/>
      <c r="U33" s="1299"/>
      <c r="V33" s="2461" t="str">
        <f>IF(TITLE_NUMBER_PR_CHANGE="",IF(TITLE_NUMBER_PR="","",TITLE_NUMBER_PR),TITLE_NUMBER_PR_CHANGE)</f>
        <v>03.5-1382</v>
      </c>
      <c r="W33" s="2461"/>
      <c r="X33" s="2461"/>
      <c r="Y33" s="2461"/>
      <c r="Z33" s="2461"/>
      <c r="AA33" s="2461"/>
      <c r="AB33" s="264"/>
      <c r="AC33" s="2461" t="str">
        <f>IF(TITLE_NUMBER_PR_CHANGE="",IF(TITLE_NUMBER_PR="","",TITLE_NUMBER_PR),TITLE_NUMBER_PR_CHANGE)</f>
        <v>03.5-1382</v>
      </c>
      <c r="AD33" s="2461"/>
      <c r="AE33" s="2461"/>
      <c r="AF33" s="2461"/>
      <c r="AG33" s="2461"/>
      <c r="AH33" s="2461"/>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431</v>
      </c>
      <c r="AC34" s="264"/>
      <c r="AD34" s="264"/>
      <c r="AE34" s="264"/>
      <c r="AF34" s="264"/>
      <c r="AG34" s="264"/>
      <c r="AH34" s="264"/>
      <c r="AI34" s="216" t="s">
        <v>431</v>
      </c>
      <c r="AL34" s="305"/>
      <c r="AM34" s="305"/>
      <c r="AN34" s="305"/>
      <c r="AO34" s="305"/>
      <c r="AP34" s="305"/>
      <c r="AQ34" s="355">
        <v>1</v>
      </c>
    </row>
    <row r="35" spans="1:43" ht="14.65" customHeight="1">
      <c r="Q35" s="313"/>
      <c r="R35" s="313"/>
      <c r="S35" s="1202"/>
      <c r="T35" s="300"/>
      <c r="U35" s="1171"/>
      <c r="V35" s="2480"/>
      <c r="W35" s="2480"/>
      <c r="X35" s="2480"/>
      <c r="Y35" s="2480"/>
      <c r="Z35" s="2480"/>
      <c r="AA35" s="2480"/>
      <c r="AB35" s="2480"/>
      <c r="AC35" s="2480"/>
      <c r="AD35" s="2480"/>
      <c r="AE35" s="2480"/>
      <c r="AF35" s="2480"/>
      <c r="AG35" s="2480"/>
      <c r="AH35" s="2480"/>
      <c r="AI35" s="2480"/>
      <c r="AQ35" s="1082">
        <v>14</v>
      </c>
    </row>
    <row r="36" spans="1:43" ht="14.65" customHeight="1">
      <c r="Q36" s="313"/>
      <c r="R36" s="313"/>
      <c r="S36" s="2332" t="s">
        <v>307</v>
      </c>
      <c r="T36" s="2332"/>
      <c r="U36" s="2332"/>
      <c r="V36" s="2332"/>
      <c r="W36" s="2332"/>
      <c r="X36" s="2332"/>
      <c r="Y36" s="2332"/>
      <c r="Z36" s="2332"/>
      <c r="AA36" s="2332"/>
      <c r="AB36" s="2332"/>
      <c r="AC36" s="2332"/>
      <c r="AD36" s="2332"/>
      <c r="AE36" s="2332"/>
      <c r="AF36" s="2332"/>
      <c r="AG36" s="2332"/>
      <c r="AH36" s="2332"/>
      <c r="AI36" s="2332"/>
      <c r="AJ36" s="2332"/>
      <c r="AK36" s="2332" t="s">
        <v>308</v>
      </c>
      <c r="AQ36" s="1082">
        <v>14</v>
      </c>
    </row>
    <row r="37" spans="1:43" ht="14.65" customHeight="1">
      <c r="Q37" s="313"/>
      <c r="R37" s="313"/>
      <c r="S37" s="2481" t="s">
        <v>89</v>
      </c>
      <c r="T37" s="2429" t="s">
        <v>432</v>
      </c>
      <c r="U37" s="239"/>
      <c r="V37" s="2482" t="s">
        <v>433</v>
      </c>
      <c r="W37" s="2483"/>
      <c r="X37" s="2483"/>
      <c r="Y37" s="2483"/>
      <c r="Z37" s="2483"/>
      <c r="AA37" s="2484"/>
      <c r="AB37" s="2485" t="s">
        <v>434</v>
      </c>
      <c r="AC37" s="2482" t="s">
        <v>433</v>
      </c>
      <c r="AD37" s="2483"/>
      <c r="AE37" s="2483"/>
      <c r="AF37" s="2483"/>
      <c r="AG37" s="2483"/>
      <c r="AH37" s="2484"/>
      <c r="AI37" s="2485" t="s">
        <v>435</v>
      </c>
      <c r="AJ37" s="2488" t="s">
        <v>436</v>
      </c>
      <c r="AK37" s="2332"/>
      <c r="AQ37" s="1082">
        <v>14</v>
      </c>
    </row>
    <row r="38" spans="1:43" ht="35.65" customHeight="1">
      <c r="Q38" s="313"/>
      <c r="R38" s="313"/>
      <c r="S38" s="2481"/>
      <c r="T38" s="2429"/>
      <c r="U38" s="961"/>
      <c r="V38" s="1410" t="s">
        <v>498</v>
      </c>
      <c r="W38" s="2314" t="s">
        <v>439</v>
      </c>
      <c r="X38" s="2313"/>
      <c r="Y38" s="2314" t="s">
        <v>440</v>
      </c>
      <c r="Z38" s="2319"/>
      <c r="AA38" s="2313"/>
      <c r="AB38" s="2486"/>
      <c r="AC38" s="1410" t="s">
        <v>498</v>
      </c>
      <c r="AD38" s="2314" t="s">
        <v>439</v>
      </c>
      <c r="AE38" s="2313"/>
      <c r="AF38" s="2314" t="s">
        <v>440</v>
      </c>
      <c r="AG38" s="2319"/>
      <c r="AH38" s="2313"/>
      <c r="AI38" s="2486"/>
      <c r="AJ38" s="2489"/>
      <c r="AK38" s="2332"/>
      <c r="AQ38" s="1082">
        <v>34</v>
      </c>
    </row>
    <row r="39" spans="1:43" ht="90.4" customHeight="1">
      <c r="A39" s="1297"/>
      <c r="B39" s="1297" t="s">
        <v>136</v>
      </c>
      <c r="C39" s="1297" t="s">
        <v>137</v>
      </c>
      <c r="D39" s="1297" t="s">
        <v>138</v>
      </c>
      <c r="E39" s="1291" t="s">
        <v>441</v>
      </c>
      <c r="F39" s="1291" t="s">
        <v>442</v>
      </c>
      <c r="G39" s="1291" t="s">
        <v>443</v>
      </c>
      <c r="H39" s="1291"/>
      <c r="I39" s="1291" t="s">
        <v>499</v>
      </c>
      <c r="J39" s="1291" t="s">
        <v>446</v>
      </c>
      <c r="K39" s="1291" t="s">
        <v>500</v>
      </c>
      <c r="L39" s="1291" t="s">
        <v>422</v>
      </c>
      <c r="Q39" s="313"/>
      <c r="R39" s="313"/>
      <c r="S39" s="2481"/>
      <c r="T39" s="2429"/>
      <c r="U39" s="240"/>
      <c r="V39" s="1410" t="s">
        <v>527</v>
      </c>
      <c r="W39" s="1149" t="s">
        <v>528</v>
      </c>
      <c r="X39" s="1149" t="s">
        <v>503</v>
      </c>
      <c r="Y39" s="1416" t="s">
        <v>450</v>
      </c>
      <c r="Z39" s="2434" t="s">
        <v>451</v>
      </c>
      <c r="AA39" s="2448"/>
      <c r="AB39" s="2487"/>
      <c r="AC39" s="1410" t="s">
        <v>527</v>
      </c>
      <c r="AD39" s="1149" t="s">
        <v>528</v>
      </c>
      <c r="AE39" s="1149" t="s">
        <v>503</v>
      </c>
      <c r="AF39" s="1416" t="s">
        <v>450</v>
      </c>
      <c r="AG39" s="2434" t="s">
        <v>451</v>
      </c>
      <c r="AH39" s="2448"/>
      <c r="AI39" s="2487"/>
      <c r="AJ39" s="2490"/>
      <c r="AK39" s="2332"/>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409">
        <f ca="1">OFFSET(V40,0,-1)+1</f>
        <v>3</v>
      </c>
      <c r="W40" s="1409">
        <f ca="1">OFFSET(W40,0,-1)+1</f>
        <v>4</v>
      </c>
      <c r="X40" s="1409">
        <f ca="1">OFFSET(X40,0,-1)+1</f>
        <v>5</v>
      </c>
      <c r="Y40" s="1409">
        <f ca="1">OFFSET(Y40,0,-1)+1</f>
        <v>6</v>
      </c>
      <c r="Z40" s="2479">
        <f ca="1">OFFSET(Z40,0,-1)+1</f>
        <v>7</v>
      </c>
      <c r="AA40" s="2479"/>
      <c r="AB40" s="1409">
        <f ca="1">OFFSET(AB40,0,-2)+1</f>
        <v>8</v>
      </c>
      <c r="AC40" s="1409">
        <f ca="1">OFFSET(AC40,0,-1)+1</f>
        <v>9</v>
      </c>
      <c r="AD40" s="1409">
        <f ca="1">OFFSET(AD40,0,-1)+1</f>
        <v>10</v>
      </c>
      <c r="AE40" s="1409">
        <f ca="1">OFFSET(AE40,0,-1)+1</f>
        <v>11</v>
      </c>
      <c r="AF40" s="1409">
        <f ca="1">OFFSET(AF40,0,-1)+1</f>
        <v>12</v>
      </c>
      <c r="AG40" s="2479">
        <f ca="1">OFFSET(AG40,0,-1)+1</f>
        <v>13</v>
      </c>
      <c r="AH40" s="2479"/>
      <c r="AI40" s="1409">
        <f ca="1">OFFSET(AI40,0,-2)+1</f>
        <v>14</v>
      </c>
      <c r="AJ40" s="1172">
        <f ca="1">OFFSET(AJ40,0,-1)</f>
        <v>14</v>
      </c>
      <c r="AK40" s="1409">
        <f ca="1">OFFSET(AK40,0,-1)+1</f>
        <v>15</v>
      </c>
      <c r="AL40" s="448"/>
      <c r="AM40" s="448"/>
      <c r="AN40" s="448"/>
      <c r="AO40" s="448"/>
      <c r="AP40" s="448"/>
      <c r="AQ40" s="433">
        <v>0</v>
      </c>
    </row>
    <row r="41" spans="1:43" ht="24" customHeight="1">
      <c r="A41" s="1290" t="s">
        <v>273</v>
      </c>
      <c r="B41" s="1290"/>
      <c r="C41" s="1290"/>
      <c r="D41" s="1290"/>
      <c r="E41" s="2468">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124</v>
      </c>
      <c r="U41" s="238"/>
      <c r="V41" s="2462"/>
      <c r="W41" s="2463"/>
      <c r="X41" s="2463"/>
      <c r="Y41" s="2463"/>
      <c r="Z41" s="2463"/>
      <c r="AA41" s="2463"/>
      <c r="AB41" s="2464"/>
      <c r="AC41" s="2462" t="str">
        <f>INDEX(PT_DIFFERENTIATION_NTAR,MATCH(A41,PT_DIFFERENTIATION_NTAR_ID,0))</f>
        <v/>
      </c>
      <c r="AD41" s="2463"/>
      <c r="AE41" s="2463"/>
      <c r="AF41" s="2463"/>
      <c r="AG41" s="2463"/>
      <c r="AH41" s="2463"/>
      <c r="AI41" s="2463"/>
      <c r="AJ41" s="246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273</v>
      </c>
      <c r="B42" s="1290" t="s">
        <v>274</v>
      </c>
      <c r="C42" s="1290"/>
      <c r="D42" s="1290"/>
      <c r="E42" s="2469"/>
      <c r="F42" s="2468">
        <v>1</v>
      </c>
      <c r="G42" s="1290"/>
      <c r="H42" s="1290"/>
      <c r="I42" s="1290"/>
      <c r="J42" s="1290"/>
      <c r="K42" s="1290"/>
      <c r="L42" s="1291"/>
      <c r="M42" s="1292"/>
      <c r="N42" s="1292"/>
      <c r="O42" s="1292"/>
      <c r="P42" s="1414"/>
      <c r="Q42" s="289"/>
      <c r="R42" s="290"/>
      <c r="S42" s="1420" t="str">
        <f>INDEX(PT_DIFFERENTIATION_NUM_TER,MATCH(B42,PT_DIFFERENTIATION_TER_ID,0))</f>
        <v>.</v>
      </c>
      <c r="T42" s="246" t="s">
        <v>404</v>
      </c>
      <c r="U42" s="238"/>
      <c r="V42" s="2462"/>
      <c r="W42" s="2463"/>
      <c r="X42" s="2463"/>
      <c r="Y42" s="2463"/>
      <c r="Z42" s="2463"/>
      <c r="AA42" s="2463"/>
      <c r="AB42" s="2464"/>
      <c r="AC42" s="2462" t="str">
        <f>INDEX(PT_DIFFERENTIATION_TER,MATCH(B42,PT_DIFFERENTIATION_TER_ID,0))</f>
        <v/>
      </c>
      <c r="AD42" s="2463"/>
      <c r="AE42" s="2463"/>
      <c r="AF42" s="2463"/>
      <c r="AG42" s="2463"/>
      <c r="AH42" s="2463"/>
      <c r="AI42" s="2463"/>
      <c r="AJ42" s="2464"/>
      <c r="AK42" s="1185" t="s">
        <v>405</v>
      </c>
      <c r="AM42" s="437"/>
      <c r="AN42" s="437" t="str">
        <f t="shared" si="1"/>
        <v>Территория действия тарифа</v>
      </c>
      <c r="AO42" s="437"/>
      <c r="AP42" s="437"/>
      <c r="AQ42" s="1082">
        <v>23</v>
      </c>
    </row>
    <row r="43" spans="1:43" ht="24" customHeight="1">
      <c r="A43" s="1290" t="s">
        <v>273</v>
      </c>
      <c r="B43" s="1290" t="s">
        <v>274</v>
      </c>
      <c r="C43" s="1290" t="s">
        <v>275</v>
      </c>
      <c r="D43" s="1290"/>
      <c r="E43" s="2469"/>
      <c r="F43" s="2469"/>
      <c r="G43" s="2468">
        <v>1</v>
      </c>
      <c r="H43" s="1290"/>
      <c r="I43" s="1290"/>
      <c r="J43" s="1290"/>
      <c r="K43" s="1290"/>
      <c r="L43" s="1291"/>
      <c r="M43" s="1292"/>
      <c r="N43" s="1292"/>
      <c r="O43" s="1292"/>
      <c r="P43" s="291"/>
      <c r="Q43" s="289"/>
      <c r="R43" s="290"/>
      <c r="S43" s="1420" t="str">
        <f>INDEX(PT_DIFFERENTIATION_NUM_CS,MATCH(C43,PT_DIFFERENTIATION_CS_ID,0))</f>
        <v>..</v>
      </c>
      <c r="T43" s="247" t="s">
        <v>525</v>
      </c>
      <c r="U43" s="238"/>
      <c r="V43" s="2462"/>
      <c r="W43" s="2463"/>
      <c r="X43" s="2463"/>
      <c r="Y43" s="2463"/>
      <c r="Z43" s="2463"/>
      <c r="AA43" s="2463"/>
      <c r="AB43" s="2464"/>
      <c r="AC43" s="2462" t="str">
        <f>INDEX(PT_DIFFERENTIATION_CS,MATCH(C43,PT_DIFFERENTIATION_CS_ID,0))</f>
        <v/>
      </c>
      <c r="AD43" s="2463"/>
      <c r="AE43" s="2463"/>
      <c r="AF43" s="2463"/>
      <c r="AG43" s="2463"/>
      <c r="AH43" s="2463"/>
      <c r="AI43" s="2463"/>
      <c r="AJ43" s="2464"/>
      <c r="AK43" s="1185" t="s">
        <v>526</v>
      </c>
      <c r="AM43" s="437"/>
      <c r="AN43" s="437" t="str">
        <f t="shared" si="1"/>
        <v>Наименование централизованной системы водоотведения</v>
      </c>
      <c r="AO43" s="437"/>
      <c r="AP43" s="437"/>
      <c r="AQ43" s="1082">
        <v>23</v>
      </c>
    </row>
    <row r="44" spans="1:43" ht="24" customHeight="1">
      <c r="A44" s="1290" t="s">
        <v>273</v>
      </c>
      <c r="B44" s="1290" t="s">
        <v>274</v>
      </c>
      <c r="C44" s="1290" t="s">
        <v>275</v>
      </c>
      <c r="D44" s="1290" t="s">
        <v>529</v>
      </c>
      <c r="E44" s="2469"/>
      <c r="F44" s="2469"/>
      <c r="G44" s="2469"/>
      <c r="H44" s="2469"/>
      <c r="I44" s="2470" t="str">
        <f>S43&amp;".1"</f>
        <v>...1</v>
      </c>
      <c r="J44" s="1290"/>
      <c r="K44" s="1290"/>
      <c r="L44" s="1291"/>
      <c r="P44" s="2472">
        <v>1</v>
      </c>
      <c r="Q44" s="1408"/>
      <c r="R44" s="293"/>
      <c r="S44" s="1420" t="str">
        <f>$I44</f>
        <v>...1</v>
      </c>
      <c r="T44" s="223" t="s">
        <v>492</v>
      </c>
      <c r="U44" s="238"/>
      <c r="V44" s="2549"/>
      <c r="W44" s="2550"/>
      <c r="X44" s="2550"/>
      <c r="Y44" s="2550"/>
      <c r="Z44" s="2550"/>
      <c r="AA44" s="2550"/>
      <c r="AB44" s="2551"/>
      <c r="AC44" s="2552"/>
      <c r="AD44" s="2553"/>
      <c r="AE44" s="2553"/>
      <c r="AF44" s="2553"/>
      <c r="AG44" s="2553"/>
      <c r="AH44" s="2553"/>
      <c r="AI44" s="2553"/>
      <c r="AJ44" s="2554"/>
      <c r="AK44" s="1185" t="s">
        <v>493</v>
      </c>
      <c r="AM44" s="437"/>
      <c r="AN44" s="437" t="str">
        <f t="shared" si="1"/>
        <v>Наименование признака дифференциации</v>
      </c>
      <c r="AO44" s="437"/>
      <c r="AP44" s="437"/>
      <c r="AQ44" s="1082">
        <v>23</v>
      </c>
    </row>
    <row r="45" spans="1:43" ht="24" customHeight="1">
      <c r="A45" s="1290" t="s">
        <v>273</v>
      </c>
      <c r="B45" s="1290" t="s">
        <v>274</v>
      </c>
      <c r="C45" s="1290" t="s">
        <v>275</v>
      </c>
      <c r="D45" s="1290" t="s">
        <v>529</v>
      </c>
      <c r="E45" s="2469"/>
      <c r="F45" s="2469"/>
      <c r="G45" s="2469"/>
      <c r="H45" s="2469"/>
      <c r="I45" s="2471"/>
      <c r="J45" s="2470" t="str">
        <f>I44&amp;".1"</f>
        <v>...1.1</v>
      </c>
      <c r="K45" s="1290"/>
      <c r="L45" s="1291" t="s">
        <v>413</v>
      </c>
      <c r="P45" s="2472"/>
      <c r="Q45" s="2472">
        <v>1</v>
      </c>
      <c r="R45" s="294"/>
      <c r="S45" s="1420" t="str">
        <f>$J45</f>
        <v>...1.1</v>
      </c>
      <c r="T45" s="224" t="s">
        <v>414</v>
      </c>
      <c r="U45" s="238"/>
      <c r="V45" s="2456"/>
      <c r="W45" s="2457"/>
      <c r="X45" s="2457"/>
      <c r="Y45" s="2457"/>
      <c r="Z45" s="2457"/>
      <c r="AA45" s="2457"/>
      <c r="AB45" s="2458"/>
      <c r="AC45" s="2456"/>
      <c r="AD45" s="2457"/>
      <c r="AE45" s="2457"/>
      <c r="AF45" s="2457"/>
      <c r="AG45" s="2457"/>
      <c r="AH45" s="2457"/>
      <c r="AI45" s="2457"/>
      <c r="AJ45" s="2458"/>
      <c r="AK45" s="1234" t="s">
        <v>494</v>
      </c>
      <c r="AM45" s="437"/>
      <c r="AN45" s="437" t="str">
        <f t="shared" si="1"/>
        <v>Группа потребителей</v>
      </c>
      <c r="AO45" s="437"/>
      <c r="AP45" s="437"/>
      <c r="AQ45" s="1082">
        <v>23</v>
      </c>
    </row>
    <row r="46" spans="1:43" ht="24" customHeight="1">
      <c r="A46" s="1290" t="s">
        <v>273</v>
      </c>
      <c r="B46" s="1290" t="s">
        <v>274</v>
      </c>
      <c r="C46" s="1290" t="s">
        <v>275</v>
      </c>
      <c r="D46" s="1290" t="s">
        <v>529</v>
      </c>
      <c r="E46" s="2469"/>
      <c r="F46" s="2469"/>
      <c r="G46" s="2469"/>
      <c r="H46" s="2469"/>
      <c r="I46" s="2471"/>
      <c r="J46" s="2471"/>
      <c r="K46" s="2470" t="str">
        <f>J45&amp;".1"</f>
        <v>...1.1.1</v>
      </c>
      <c r="L46" s="1291"/>
      <c r="P46" s="2472"/>
      <c r="Q46" s="2472"/>
      <c r="R46" s="294">
        <v>1</v>
      </c>
      <c r="S46" s="1420" t="str">
        <f>$K46</f>
        <v>...1.1.1</v>
      </c>
      <c r="T46" s="1364"/>
      <c r="U46" s="238"/>
      <c r="V46" s="1287"/>
      <c r="W46" s="1287"/>
      <c r="X46" s="1288"/>
      <c r="Y46" s="2466"/>
      <c r="Z46" s="2465" t="s">
        <v>67</v>
      </c>
      <c r="AA46" s="2466"/>
      <c r="AB46" s="2465" t="s">
        <v>67</v>
      </c>
      <c r="AC46" s="688"/>
      <c r="AD46" s="688"/>
      <c r="AE46" s="1184"/>
      <c r="AF46" s="2473"/>
      <c r="AG46" s="2342" t="s">
        <v>67</v>
      </c>
      <c r="AH46" s="2475"/>
      <c r="AI46" s="2342" t="s">
        <v>19</v>
      </c>
      <c r="AJ46" s="1365"/>
      <c r="AK46" s="25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273</v>
      </c>
      <c r="B47" s="1290" t="s">
        <v>274</v>
      </c>
      <c r="C47" s="1290" t="s">
        <v>275</v>
      </c>
      <c r="D47" s="1290" t="s">
        <v>529</v>
      </c>
      <c r="E47" s="2469"/>
      <c r="F47" s="2469"/>
      <c r="G47" s="2469"/>
      <c r="H47" s="2469"/>
      <c r="I47" s="2471"/>
      <c r="J47" s="2471"/>
      <c r="K47" s="2470"/>
      <c r="L47" s="1291"/>
      <c r="P47" s="2472"/>
      <c r="Q47" s="2472"/>
      <c r="R47" s="294"/>
      <c r="S47" s="1417"/>
      <c r="T47" s="238"/>
      <c r="U47" s="238"/>
      <c r="V47" s="1287"/>
      <c r="W47" s="1287"/>
      <c r="X47" s="266" t="str">
        <f>Y46&amp;"-"&amp;AA46</f>
        <v>-</v>
      </c>
      <c r="Y47" s="2465"/>
      <c r="Z47" s="2465"/>
      <c r="AA47" s="2465"/>
      <c r="AB47" s="2465"/>
      <c r="AC47" s="263"/>
      <c r="AD47" s="263"/>
      <c r="AE47" s="266" t="str">
        <f>AF46&amp;"-"&amp;AH46</f>
        <v>-</v>
      </c>
      <c r="AF47" s="2474"/>
      <c r="AG47" s="2342"/>
      <c r="AH47" s="2476"/>
      <c r="AI47" s="2342"/>
      <c r="AJ47" s="1366"/>
      <c r="AK47" s="2555"/>
      <c r="AM47" s="437"/>
      <c r="AN47" s="437" t="str">
        <f t="shared" si="1"/>
        <v/>
      </c>
      <c r="AO47" s="437"/>
      <c r="AP47" s="437"/>
      <c r="AQ47" s="1082">
        <v>0</v>
      </c>
    </row>
    <row r="48" spans="1:43" ht="21" customHeight="1">
      <c r="A48" s="1290" t="s">
        <v>273</v>
      </c>
      <c r="B48" s="1290" t="s">
        <v>274</v>
      </c>
      <c r="C48" s="1290" t="s">
        <v>275</v>
      </c>
      <c r="D48" s="1290" t="s">
        <v>529</v>
      </c>
      <c r="E48" s="2469"/>
      <c r="F48" s="2469"/>
      <c r="G48" s="2469"/>
      <c r="H48" s="2469"/>
      <c r="I48" s="2471"/>
      <c r="J48" s="2470"/>
      <c r="K48" s="1290"/>
      <c r="L48" s="1291"/>
      <c r="P48" s="2472"/>
      <c r="Q48" s="2472"/>
      <c r="R48" s="293"/>
      <c r="S48" s="1205"/>
      <c r="T48" s="225" t="s">
        <v>495</v>
      </c>
      <c r="U48" s="304"/>
      <c r="V48" s="304"/>
      <c r="W48" s="304"/>
      <c r="X48" s="304"/>
      <c r="Y48" s="304"/>
      <c r="Z48" s="304"/>
      <c r="AA48" s="304"/>
      <c r="AB48" s="304"/>
      <c r="AC48" s="304"/>
      <c r="AD48" s="304"/>
      <c r="AE48" s="304"/>
      <c r="AF48" s="304"/>
      <c r="AG48" s="304"/>
      <c r="AH48" s="304"/>
      <c r="AI48" s="304"/>
      <c r="AJ48" s="304"/>
      <c r="AK48" s="1185" t="s">
        <v>496</v>
      </c>
      <c r="AM48" s="437"/>
      <c r="AN48" s="437" t="str">
        <f t="shared" si="1"/>
        <v>Добавить значение признака дифференциации</v>
      </c>
      <c r="AO48" s="437"/>
      <c r="AP48" s="437"/>
      <c r="AQ48" s="1082">
        <v>20</v>
      </c>
    </row>
    <row r="49" spans="1:43" ht="21.95" customHeight="1">
      <c r="A49" s="1290" t="s">
        <v>273</v>
      </c>
      <c r="B49" s="1290" t="s">
        <v>274</v>
      </c>
      <c r="C49" s="1290" t="s">
        <v>275</v>
      </c>
      <c r="D49" s="1290" t="s">
        <v>529</v>
      </c>
      <c r="E49" s="2469"/>
      <c r="F49" s="2469"/>
      <c r="G49" s="2469"/>
      <c r="H49" s="2469"/>
      <c r="I49" s="2470"/>
      <c r="J49" s="1290"/>
      <c r="K49" s="1290"/>
      <c r="L49" s="1291"/>
      <c r="P49" s="2472"/>
      <c r="Q49" s="1408"/>
      <c r="R49" s="293"/>
      <c r="S49" s="1205"/>
      <c r="T49" s="302" t="s">
        <v>419</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273</v>
      </c>
      <c r="B50" s="1290" t="s">
        <v>274</v>
      </c>
      <c r="C50" s="1290" t="s">
        <v>275</v>
      </c>
      <c r="D50" s="1290" t="s">
        <v>529</v>
      </c>
      <c r="E50" s="2469"/>
      <c r="F50" s="2469"/>
      <c r="G50" s="2469"/>
      <c r="H50" s="2468"/>
      <c r="I50" s="1290"/>
      <c r="J50" s="1290"/>
      <c r="K50" s="1290"/>
      <c r="L50" s="1291"/>
      <c r="M50" s="1292"/>
      <c r="N50" s="1292"/>
      <c r="O50" s="474"/>
      <c r="P50" s="297"/>
      <c r="Q50" s="312"/>
      <c r="R50" s="292"/>
      <c r="S50" s="1205"/>
      <c r="T50" s="309" t="s">
        <v>497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273</v>
      </c>
      <c r="B51" s="1270" t="s">
        <v>274</v>
      </c>
      <c r="C51" s="1241"/>
      <c r="D51" s="1241"/>
      <c r="E51" s="2469"/>
      <c r="F51" s="2468"/>
      <c r="G51" s="1241"/>
      <c r="H51" s="1241"/>
      <c r="I51" s="1241"/>
      <c r="J51" s="1241"/>
      <c r="K51" s="1241"/>
      <c r="L51" s="1421"/>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273</v>
      </c>
      <c r="B52" s="1270"/>
      <c r="C52" s="1270"/>
      <c r="D52" s="1270"/>
      <c r="E52" s="2468"/>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467"/>
      <c r="U55" s="2467"/>
      <c r="V55" s="2467"/>
      <c r="W55" s="2467"/>
      <c r="X55" s="2467"/>
      <c r="Y55" s="2467"/>
      <c r="Z55" s="2467"/>
      <c r="AA55" s="2467"/>
      <c r="AB55" s="2467"/>
      <c r="AC55" s="2467"/>
      <c r="AD55" s="2467"/>
      <c r="AE55" s="2467"/>
      <c r="AF55" s="2467"/>
      <c r="AG55" s="2467"/>
      <c r="AH55" s="2467"/>
      <c r="AI55" s="2467"/>
      <c r="AJ55" s="2467"/>
      <c r="AK55" s="2467"/>
      <c r="AQ55" s="1082">
        <v>14</v>
      </c>
    </row>
    <row r="56" spans="1:43" ht="14.65" customHeight="1">
      <c r="O56" s="474"/>
      <c r="AQ56" s="1082">
        <v>14</v>
      </c>
    </row>
    <row r="57" spans="1:43" ht="14.65" customHeight="1">
      <c r="O57" s="474"/>
      <c r="S57" s="1180"/>
      <c r="T57" s="2467"/>
      <c r="U57" s="2467"/>
      <c r="V57" s="2467"/>
      <c r="W57" s="2467"/>
      <c r="X57" s="2467"/>
      <c r="Y57" s="2467"/>
      <c r="Z57" s="2467"/>
      <c r="AA57" s="2467"/>
      <c r="AB57" s="2467"/>
      <c r="AC57" s="2467"/>
      <c r="AD57" s="2467"/>
      <c r="AE57" s="2467"/>
      <c r="AF57" s="2467"/>
      <c r="AG57" s="2467"/>
      <c r="AH57" s="2467"/>
      <c r="AI57" s="2467"/>
      <c r="AJ57" s="2467"/>
      <c r="AK57" s="2467"/>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19111-FDD1-E224-A85A-ECB825D000B9}">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2" customWidth="1"/>
    <col min="19" max="19" width="12" style="2009"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468">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462"/>
      <c r="W2" s="2463"/>
      <c r="X2" s="2463"/>
      <c r="Y2" s="2463"/>
      <c r="Z2" s="2463"/>
      <c r="AA2" s="2463"/>
      <c r="AB2" s="2464"/>
      <c r="AC2" s="2462" t="e">
        <f>INDEX(PT_DIFFERENTIATION_NTAR,MATCH(A2,PT_DIFFERENTIATION_NTAR_ID,0))</f>
        <v>#N/A</v>
      </c>
      <c r="AD2" s="2463"/>
      <c r="AE2" s="2463"/>
      <c r="AF2" s="2463"/>
      <c r="AG2" s="2463"/>
      <c r="AH2" s="2463"/>
      <c r="AI2" s="2463"/>
      <c r="AJ2" s="246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469"/>
      <c r="F3" s="2468">
        <v>1</v>
      </c>
      <c r="G3" s="1290"/>
      <c r="H3" s="1290"/>
      <c r="I3" s="1290"/>
      <c r="J3" s="1290"/>
      <c r="K3" s="1290"/>
      <c r="L3" s="1291"/>
      <c r="M3" s="1292"/>
      <c r="N3" s="1292"/>
      <c r="O3" s="1292"/>
      <c r="P3" s="1414"/>
      <c r="Q3" s="289"/>
      <c r="R3" s="290"/>
      <c r="S3" s="1420" t="e">
        <f>INDEX(PT_DIFFERENTIATION_NUM_TER,MATCH(B3,PT_DIFFERENTIATION_TER_ID,0))</f>
        <v>#N/A</v>
      </c>
      <c r="T3" s="246" t="s">
        <v>404</v>
      </c>
      <c r="U3" s="238"/>
      <c r="V3" s="2462"/>
      <c r="W3" s="2463"/>
      <c r="X3" s="2463"/>
      <c r="Y3" s="2463"/>
      <c r="Z3" s="2463"/>
      <c r="AA3" s="2463"/>
      <c r="AB3" s="2464"/>
      <c r="AC3" s="2462" t="e">
        <f>INDEX(PT_DIFFERENTIATION_TER,MATCH(B3,PT_DIFFERENTIATION_TER_ID,0))</f>
        <v>#N/A</v>
      </c>
      <c r="AD3" s="2463"/>
      <c r="AE3" s="2463"/>
      <c r="AF3" s="2463"/>
      <c r="AG3" s="2463"/>
      <c r="AH3" s="2463"/>
      <c r="AI3" s="2463"/>
      <c r="AJ3" s="2464"/>
      <c r="AK3" s="1185" t="s">
        <v>405</v>
      </c>
      <c r="AM3" s="437"/>
      <c r="AN3" s="437" t="str">
        <f t="shared" si="0"/>
        <v>Территория действия тарифа</v>
      </c>
      <c r="AO3" s="437"/>
      <c r="AP3" s="437"/>
      <c r="AQ3" s="1082">
        <v>0</v>
      </c>
    </row>
    <row r="4" spans="1:43" ht="23.25" hidden="1" customHeight="1">
      <c r="A4" s="1290"/>
      <c r="B4" s="1290"/>
      <c r="C4" s="1290"/>
      <c r="D4" s="1290"/>
      <c r="E4" s="2469"/>
      <c r="F4" s="2469"/>
      <c r="G4" s="2468">
        <v>1</v>
      </c>
      <c r="H4" s="1290"/>
      <c r="I4" s="1290"/>
      <c r="J4" s="1290"/>
      <c r="K4" s="1290"/>
      <c r="L4" s="1291"/>
      <c r="M4" s="1292"/>
      <c r="N4" s="1292"/>
      <c r="O4" s="1292"/>
      <c r="P4" s="291"/>
      <c r="Q4" s="289"/>
      <c r="R4" s="290"/>
      <c r="S4" s="1420" t="e">
        <f>INDEX(PT_DIFFERENTIATION_NUM_CS,MATCH(C4,PT_DIFFERENTIATION_CS_ID,0))</f>
        <v>#N/A</v>
      </c>
      <c r="T4" s="247" t="s">
        <v>525</v>
      </c>
      <c r="U4" s="238"/>
      <c r="V4" s="2462"/>
      <c r="W4" s="2463"/>
      <c r="X4" s="2463"/>
      <c r="Y4" s="2463"/>
      <c r="Z4" s="2463"/>
      <c r="AA4" s="2463"/>
      <c r="AB4" s="2464"/>
      <c r="AC4" s="2462" t="e">
        <f>INDEX(PT_DIFFERENTIATION_CS,MATCH(C4,PT_DIFFERENTIATION_CS_ID,0))</f>
        <v>#N/A</v>
      </c>
      <c r="AD4" s="2463"/>
      <c r="AE4" s="2463"/>
      <c r="AF4" s="2463"/>
      <c r="AG4" s="2463"/>
      <c r="AH4" s="2463"/>
      <c r="AI4" s="2463"/>
      <c r="AJ4" s="2464"/>
      <c r="AK4" s="1185" t="s">
        <v>526</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469"/>
      <c r="F5" s="2469"/>
      <c r="G5" s="2469"/>
      <c r="H5" s="2469"/>
      <c r="I5" s="2470" t="e">
        <f>S4&amp;".1"</f>
        <v>#N/A</v>
      </c>
      <c r="J5" s="1290"/>
      <c r="K5" s="1290"/>
      <c r="L5" s="1291"/>
      <c r="P5" s="2472">
        <v>1</v>
      </c>
      <c r="Q5" s="1408"/>
      <c r="R5" s="293"/>
      <c r="S5" s="1420" t="e">
        <f>$I5</f>
        <v>#N/A</v>
      </c>
      <c r="T5" s="223" t="s">
        <v>492</v>
      </c>
      <c r="U5" s="238"/>
      <c r="V5" s="2549"/>
      <c r="W5" s="2550"/>
      <c r="X5" s="2550"/>
      <c r="Y5" s="2550"/>
      <c r="Z5" s="2550"/>
      <c r="AA5" s="2550"/>
      <c r="AB5" s="2551"/>
      <c r="AC5" s="2552"/>
      <c r="AD5" s="2553"/>
      <c r="AE5" s="2553"/>
      <c r="AF5" s="2553"/>
      <c r="AG5" s="2553"/>
      <c r="AH5" s="2553"/>
      <c r="AI5" s="2553"/>
      <c r="AJ5" s="2554"/>
      <c r="AK5" s="1185" t="s">
        <v>493</v>
      </c>
      <c r="AM5" s="437"/>
      <c r="AN5" s="437" t="str">
        <f t="shared" si="0"/>
        <v>Наименование признака дифференциации</v>
      </c>
      <c r="AO5" s="437"/>
      <c r="AP5" s="437"/>
      <c r="AQ5" s="1082">
        <v>0</v>
      </c>
    </row>
    <row r="6" spans="1:43" ht="23.25" hidden="1" customHeight="1">
      <c r="A6" s="1290"/>
      <c r="B6" s="1290"/>
      <c r="C6" s="1290"/>
      <c r="D6" s="1290"/>
      <c r="E6" s="2469"/>
      <c r="F6" s="2469"/>
      <c r="G6" s="2469"/>
      <c r="H6" s="2469"/>
      <c r="I6" s="2471"/>
      <c r="J6" s="2470" t="e">
        <f>I5&amp;".1"</f>
        <v>#N/A</v>
      </c>
      <c r="K6" s="1290"/>
      <c r="L6" s="1291" t="s">
        <v>413</v>
      </c>
      <c r="P6" s="2472"/>
      <c r="Q6" s="2472">
        <v>1</v>
      </c>
      <c r="R6" s="294"/>
      <c r="S6" s="1420" t="e">
        <f>$J6</f>
        <v>#N/A</v>
      </c>
      <c r="T6" s="224" t="s">
        <v>414</v>
      </c>
      <c r="U6" s="238"/>
      <c r="V6" s="2456"/>
      <c r="W6" s="2457"/>
      <c r="X6" s="2457"/>
      <c r="Y6" s="2457"/>
      <c r="Z6" s="2457"/>
      <c r="AA6" s="2457"/>
      <c r="AB6" s="2458"/>
      <c r="AC6" s="2456"/>
      <c r="AD6" s="2457"/>
      <c r="AE6" s="2457"/>
      <c r="AF6" s="2457"/>
      <c r="AG6" s="2457"/>
      <c r="AH6" s="2457"/>
      <c r="AI6" s="2457"/>
      <c r="AJ6" s="2458"/>
      <c r="AK6" s="1234" t="s">
        <v>494</v>
      </c>
      <c r="AM6" s="437"/>
      <c r="AN6" s="437" t="str">
        <f t="shared" si="0"/>
        <v>Группа потребителей</v>
      </c>
      <c r="AO6" s="437"/>
      <c r="AP6" s="437"/>
      <c r="AQ6" s="1082">
        <v>0</v>
      </c>
    </row>
    <row r="7" spans="1:43" ht="23.25" hidden="1" customHeight="1">
      <c r="A7" s="1290"/>
      <c r="B7" s="1290"/>
      <c r="C7" s="1290"/>
      <c r="D7" s="1290"/>
      <c r="E7" s="2469"/>
      <c r="F7" s="2469"/>
      <c r="G7" s="2469"/>
      <c r="H7" s="2469"/>
      <c r="I7" s="2471"/>
      <c r="J7" s="2471"/>
      <c r="K7" s="2470" t="e">
        <f>J6&amp;".1"</f>
        <v>#N/A</v>
      </c>
      <c r="L7" s="1291"/>
      <c r="P7" s="2472"/>
      <c r="Q7" s="2472"/>
      <c r="R7" s="294">
        <v>1</v>
      </c>
      <c r="S7" s="1420" t="e">
        <f>$K7</f>
        <v>#N/A</v>
      </c>
      <c r="T7" s="1364"/>
      <c r="U7" s="238"/>
      <c r="V7" s="688"/>
      <c r="W7" s="688"/>
      <c r="X7" s="1184"/>
      <c r="Y7" s="2473"/>
      <c r="Z7" s="2342" t="s">
        <v>67</v>
      </c>
      <c r="AA7" s="2473"/>
      <c r="AB7" s="2342" t="s">
        <v>67</v>
      </c>
      <c r="AC7" s="688"/>
      <c r="AD7" s="688"/>
      <c r="AE7" s="1184"/>
      <c r="AF7" s="2473"/>
      <c r="AG7" s="2342" t="s">
        <v>67</v>
      </c>
      <c r="AH7" s="2475"/>
      <c r="AI7" s="2342" t="s">
        <v>67</v>
      </c>
      <c r="AJ7" s="1365"/>
      <c r="AK7" s="25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469"/>
      <c r="F8" s="2469"/>
      <c r="G8" s="2469"/>
      <c r="H8" s="2469"/>
      <c r="I8" s="2471"/>
      <c r="J8" s="2471"/>
      <c r="K8" s="2470"/>
      <c r="L8" s="1291"/>
      <c r="P8" s="2472"/>
      <c r="Q8" s="2472"/>
      <c r="R8" s="294"/>
      <c r="S8" s="1417"/>
      <c r="T8" s="238"/>
      <c r="U8" s="238"/>
      <c r="V8" s="263"/>
      <c r="W8" s="263"/>
      <c r="X8" s="266" t="str">
        <f>Y7&amp;"-"&amp;AA7</f>
        <v>-</v>
      </c>
      <c r="Y8" s="2474"/>
      <c r="Z8" s="2342"/>
      <c r="AA8" s="2474"/>
      <c r="AB8" s="2342"/>
      <c r="AC8" s="263"/>
      <c r="AD8" s="263"/>
      <c r="AE8" s="266" t="str">
        <f>AF7&amp;"-"&amp;AH7</f>
        <v>-</v>
      </c>
      <c r="AF8" s="2474"/>
      <c r="AG8" s="2342"/>
      <c r="AH8" s="2476"/>
      <c r="AI8" s="2342"/>
      <c r="AJ8" s="1366"/>
      <c r="AK8" s="2555"/>
      <c r="AM8" s="437"/>
      <c r="AN8" s="437" t="str">
        <f t="shared" si="0"/>
        <v/>
      </c>
      <c r="AO8" s="437"/>
      <c r="AP8" s="437"/>
      <c r="AQ8" s="1082">
        <v>0</v>
      </c>
    </row>
    <row r="9" spans="1:43" ht="21" hidden="1" customHeight="1">
      <c r="A9" s="1290"/>
      <c r="B9" s="1290"/>
      <c r="C9" s="1290"/>
      <c r="D9" s="1290"/>
      <c r="E9" s="2469"/>
      <c r="F9" s="2469"/>
      <c r="G9" s="2469"/>
      <c r="H9" s="2469"/>
      <c r="I9" s="2471"/>
      <c r="J9" s="2470"/>
      <c r="K9" s="1290"/>
      <c r="L9" s="1291"/>
      <c r="P9" s="2472"/>
      <c r="Q9" s="2472"/>
      <c r="R9" s="293"/>
      <c r="S9" s="1205"/>
      <c r="T9" s="225" t="s">
        <v>495</v>
      </c>
      <c r="U9" s="304"/>
      <c r="V9" s="304"/>
      <c r="W9" s="304"/>
      <c r="X9" s="304"/>
      <c r="Y9" s="304"/>
      <c r="Z9" s="304"/>
      <c r="AA9" s="304"/>
      <c r="AB9" s="304"/>
      <c r="AC9" s="304"/>
      <c r="AD9" s="304"/>
      <c r="AE9" s="304"/>
      <c r="AF9" s="304"/>
      <c r="AG9" s="304"/>
      <c r="AH9" s="304"/>
      <c r="AI9" s="304"/>
      <c r="AJ9" s="304"/>
      <c r="AK9" s="1185" t="s">
        <v>496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469"/>
      <c r="F10" s="2469"/>
      <c r="G10" s="2469"/>
      <c r="H10" s="2469"/>
      <c r="I10" s="2470"/>
      <c r="J10" s="1290"/>
      <c r="K10" s="1290"/>
      <c r="L10" s="1291"/>
      <c r="P10" s="2472"/>
      <c r="Q10" s="1408"/>
      <c r="R10" s="293"/>
      <c r="S10" s="1205"/>
      <c r="T10" s="302" t="s">
        <v>419</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469"/>
      <c r="F11" s="2469"/>
      <c r="G11" s="2469"/>
      <c r="H11" s="2468"/>
      <c r="I11" s="1290"/>
      <c r="J11" s="1290"/>
      <c r="K11" s="1290"/>
      <c r="L11" s="1291"/>
      <c r="M11" s="1292"/>
      <c r="N11" s="1292"/>
      <c r="O11" s="474"/>
      <c r="P11" s="297"/>
      <c r="Q11" s="312"/>
      <c r="R11" s="292"/>
      <c r="S11" s="1205"/>
      <c r="T11" s="309" t="s">
        <v>497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469"/>
      <c r="F12" s="2468"/>
      <c r="G12" s="1241"/>
      <c r="H12" s="1241"/>
      <c r="I12" s="1241"/>
      <c r="J12" s="1241"/>
      <c r="K12" s="1241"/>
      <c r="L12" s="1421"/>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468"/>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466"/>
      <c r="AG15" s="2465" t="s">
        <v>67</v>
      </c>
      <c r="AH15" s="2466"/>
      <c r="AI15" s="2465" t="s">
        <v>67</v>
      </c>
      <c r="AQ15" s="1082">
        <v>0</v>
      </c>
    </row>
    <row r="16" spans="1:43" ht="14.25" hidden="1" customHeight="1">
      <c r="AC16" s="1287"/>
      <c r="AD16" s="1287"/>
      <c r="AE16" s="266" t="str">
        <f>AF15&amp;"-"&amp;AH15</f>
        <v>-</v>
      </c>
      <c r="AF16" s="2465"/>
      <c r="AG16" s="2465"/>
      <c r="AH16" s="2465"/>
      <c r="AI16" s="2465"/>
      <c r="AQ16" s="1082">
        <v>0</v>
      </c>
    </row>
    <row r="17" spans="1:43" ht="14.25" hidden="1" customHeight="1">
      <c r="AI17" s="265"/>
      <c r="AQ17" s="1082">
        <v>0</v>
      </c>
    </row>
    <row r="18" spans="1:43" s="1293" customFormat="1" ht="22.5" hidden="1" customHeight="1">
      <c r="L18" s="1405"/>
      <c r="M18" s="1289"/>
      <c r="N18" s="1289"/>
      <c r="O18" s="1294" t="s">
        <v>421</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422</v>
      </c>
      <c r="P20" s="1289"/>
      <c r="Q20" s="1369"/>
      <c r="R20" s="1369"/>
      <c r="S20" s="666"/>
      <c r="T20" s="1087" t="s">
        <v>423</v>
      </c>
      <c r="Z20" s="124" t="s">
        <v>424</v>
      </c>
      <c r="AB20" s="124" t="s">
        <v>425</v>
      </c>
      <c r="AC20" s="1087" t="s">
        <v>423</v>
      </c>
      <c r="AG20" s="124" t="s">
        <v>426</v>
      </c>
      <c r="AI20" s="124" t="s">
        <v>425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4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49"/>
      <c r="U24" s="2449"/>
      <c r="V24" s="2449"/>
      <c r="W24" s="2449"/>
      <c r="X24" s="2449"/>
      <c r="Y24" s="2449"/>
      <c r="Z24" s="2449"/>
      <c r="AA24" s="2449"/>
      <c r="AB24" s="2449"/>
      <c r="AC24" s="2449"/>
      <c r="AD24" s="2449"/>
      <c r="AE24" s="2449"/>
      <c r="AF24" s="2449"/>
      <c r="AG24" s="2449"/>
      <c r="AH24" s="2449"/>
      <c r="AI24" s="1170"/>
      <c r="AQ24" s="1082">
        <v>14</v>
      </c>
    </row>
    <row r="25" spans="1:43" ht="14.65" customHeight="1">
      <c r="Q25" s="313"/>
      <c r="R25" s="313"/>
      <c r="S25" s="2421" t="str">
        <f>IF(org=0,"Не определено",org)</f>
        <v>МУП "Городские тепловые сети" МО  "город Курчатов"</v>
      </c>
      <c r="T25" s="2421"/>
      <c r="U25" s="2421"/>
      <c r="V25" s="2421"/>
      <c r="W25" s="2421"/>
      <c r="X25" s="2421"/>
      <c r="Y25" s="2421"/>
      <c r="Z25" s="2421"/>
      <c r="AA25" s="2421"/>
      <c r="AB25" s="2421"/>
      <c r="AC25" s="2421"/>
      <c r="AD25" s="2421"/>
      <c r="AE25" s="2421"/>
      <c r="AF25" s="2421"/>
      <c r="AG25" s="2421"/>
      <c r="AH25" s="2421"/>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459" t="s">
        <v>42</v>
      </c>
      <c r="T27" s="2459"/>
      <c r="U27" s="1299"/>
      <c r="V27" s="2461" t="str">
        <f>IF(TITLE_NAME_OR_PR_CHANGE="",IF(TITLE_NAME_OR_PR="","",TITLE_NAME_OR_PR),TITLE_NAME_OR_PR_CHANGE)</f>
        <v/>
      </c>
      <c r="W27" s="2461"/>
      <c r="X27" s="2461"/>
      <c r="Y27" s="2461"/>
      <c r="Z27" s="2461"/>
      <c r="AA27" s="2461"/>
      <c r="AB27" s="264"/>
      <c r="AC27" s="2461" t="str">
        <f>IF(TITLE_NAME_OR_PR_CHANGE="",IF(TITLE_NAME_OR_PR="","",TITLE_NAME_OR_PR),TITLE_NAME_OR_PR_CHANGE)</f>
        <v/>
      </c>
      <c r="AD27" s="2461"/>
      <c r="AE27" s="2461"/>
      <c r="AF27" s="2461"/>
      <c r="AG27" s="2461"/>
      <c r="AH27" s="2461"/>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459" t="s">
        <v>427</v>
      </c>
      <c r="T28" s="2459"/>
      <c r="U28" s="1299"/>
      <c r="V28" s="2460">
        <f>IF(TITLE_DATE_PR_CHANGE="",IF(TITLE_DATE_PR="","",TITLE_DATE_PR),TITLE_DATE_PR_CHANGE)</f>
        <v>45775</v>
      </c>
      <c r="W28" s="2460"/>
      <c r="X28" s="2460"/>
      <c r="Y28" s="2460"/>
      <c r="Z28" s="2460"/>
      <c r="AA28" s="2460"/>
      <c r="AB28" s="264"/>
      <c r="AC28" s="2460">
        <f>IF(TITLE_DATE_PR_CHANGE="",IF(TITLE_DATE_PR="","",TITLE_DATE_PR),TITLE_DATE_PR_CHANGE)</f>
        <v>45775</v>
      </c>
      <c r="AD28" s="2460"/>
      <c r="AE28" s="2460"/>
      <c r="AF28" s="2460"/>
      <c r="AG28" s="2460"/>
      <c r="AH28" s="2460"/>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459" t="s">
        <v>428</v>
      </c>
      <c r="T29" s="2459"/>
      <c r="U29" s="1299"/>
      <c r="V29" s="2461" t="str">
        <f>IF(TITLE_NUMBER_PR_CHANGE="",IF(TITLE_NUMBER_PR="","",TITLE_NUMBER_PR),TITLE_NUMBER_PR_CHANGE)</f>
        <v>03.5-1382</v>
      </c>
      <c r="W29" s="2461"/>
      <c r="X29" s="2461"/>
      <c r="Y29" s="2461"/>
      <c r="Z29" s="2461"/>
      <c r="AA29" s="2461"/>
      <c r="AB29" s="264"/>
      <c r="AC29" s="2461" t="str">
        <f>IF(TITLE_NUMBER_PR_CHANGE="",IF(TITLE_NUMBER_PR="","",TITLE_NUMBER_PR),TITLE_NUMBER_PR_CHANGE)</f>
        <v>03.5-1382</v>
      </c>
      <c r="AD29" s="2461"/>
      <c r="AE29" s="2461"/>
      <c r="AF29" s="2461"/>
      <c r="AG29" s="2461"/>
      <c r="AH29" s="2461"/>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459" t="s">
        <v>43</v>
      </c>
      <c r="T30" s="2459"/>
      <c r="U30" s="1299"/>
      <c r="V30" s="2461" t="str">
        <f>IF(TITLE_IST_PUB_CHANGE="",IF(TITLE_IST_PUB="","",TITLE_IST_PUB),TITLE_IST_PUB_CHANGE)</f>
        <v/>
      </c>
      <c r="W30" s="2461"/>
      <c r="X30" s="2461"/>
      <c r="Y30" s="2461"/>
      <c r="Z30" s="2461"/>
      <c r="AA30" s="2461"/>
      <c r="AB30" s="264"/>
      <c r="AC30" s="2461" t="str">
        <f>IF(TITLE_IST_PUB_CHANGE="",IF(TITLE_IST_PUB="","",TITLE_IST_PUB),TITLE_IST_PUB_CHANGE)</f>
        <v/>
      </c>
      <c r="AD30" s="2461"/>
      <c r="AE30" s="2461"/>
      <c r="AF30" s="2461"/>
      <c r="AG30" s="2461"/>
      <c r="AH30" s="2461"/>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459" t="s">
        <v>429</v>
      </c>
      <c r="T32" s="2459"/>
      <c r="U32" s="1299"/>
      <c r="V32" s="2460">
        <f>IF(TITLE_DATE_PR_CHANGE="",IF(TITLE_DATE_PR="","",TITLE_DATE_PR),TITLE_DATE_PR_CHANGE)</f>
        <v>45775</v>
      </c>
      <c r="W32" s="2460"/>
      <c r="X32" s="2460"/>
      <c r="Y32" s="2460"/>
      <c r="Z32" s="2460"/>
      <c r="AA32" s="2460"/>
      <c r="AB32" s="264"/>
      <c r="AC32" s="2460">
        <f>IF(TITLE_DATE_PR_CHANGE="",IF(TITLE_DATE_PR="","",TITLE_DATE_PR),TITLE_DATE_PR_CHANGE)</f>
        <v>45775</v>
      </c>
      <c r="AD32" s="2460"/>
      <c r="AE32" s="2460"/>
      <c r="AF32" s="2460"/>
      <c r="AG32" s="2460"/>
      <c r="AH32" s="2460"/>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459" t="s">
        <v>430</v>
      </c>
      <c r="T33" s="2459"/>
      <c r="U33" s="1299"/>
      <c r="V33" s="2461" t="str">
        <f>IF(TITLE_NUMBER_PR_CHANGE="",IF(TITLE_NUMBER_PR="","",TITLE_NUMBER_PR),TITLE_NUMBER_PR_CHANGE)</f>
        <v>03.5-1382</v>
      </c>
      <c r="W33" s="2461"/>
      <c r="X33" s="2461"/>
      <c r="Y33" s="2461"/>
      <c r="Z33" s="2461"/>
      <c r="AA33" s="2461"/>
      <c r="AB33" s="264"/>
      <c r="AC33" s="2461" t="str">
        <f>IF(TITLE_NUMBER_PR_CHANGE="",IF(TITLE_NUMBER_PR="","",TITLE_NUMBER_PR),TITLE_NUMBER_PR_CHANGE)</f>
        <v>03.5-1382</v>
      </c>
      <c r="AD33" s="2461"/>
      <c r="AE33" s="2461"/>
      <c r="AF33" s="2461"/>
      <c r="AG33" s="2461"/>
      <c r="AH33" s="2461"/>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431</v>
      </c>
      <c r="AC34" s="264"/>
      <c r="AD34" s="264"/>
      <c r="AE34" s="264"/>
      <c r="AF34" s="264"/>
      <c r="AG34" s="264"/>
      <c r="AH34" s="264"/>
      <c r="AI34" s="216" t="s">
        <v>431</v>
      </c>
      <c r="AL34" s="305"/>
      <c r="AM34" s="305"/>
      <c r="AN34" s="305"/>
      <c r="AO34" s="305"/>
      <c r="AP34" s="305"/>
      <c r="AQ34" s="355">
        <v>1</v>
      </c>
    </row>
    <row r="35" spans="1:43" ht="14.65" customHeight="1">
      <c r="Q35" s="313"/>
      <c r="R35" s="313"/>
      <c r="S35" s="1202"/>
      <c r="T35" s="300"/>
      <c r="U35" s="1171"/>
      <c r="V35" s="2480"/>
      <c r="W35" s="2480"/>
      <c r="X35" s="2480"/>
      <c r="Y35" s="2480"/>
      <c r="Z35" s="2480"/>
      <c r="AA35" s="2480"/>
      <c r="AB35" s="2480"/>
      <c r="AC35" s="2480"/>
      <c r="AD35" s="2480"/>
      <c r="AE35" s="2480"/>
      <c r="AF35" s="2480"/>
      <c r="AG35" s="2480"/>
      <c r="AH35" s="2480"/>
      <c r="AI35" s="2480"/>
      <c r="AQ35" s="1082">
        <v>14</v>
      </c>
    </row>
    <row r="36" spans="1:43" ht="14.65" customHeight="1">
      <c r="Q36" s="313"/>
      <c r="R36" s="313"/>
      <c r="S36" s="2332" t="s">
        <v>307</v>
      </c>
      <c r="T36" s="2332"/>
      <c r="U36" s="2332"/>
      <c r="V36" s="2332"/>
      <c r="W36" s="2332"/>
      <c r="X36" s="2332"/>
      <c r="Y36" s="2332"/>
      <c r="Z36" s="2332"/>
      <c r="AA36" s="2332"/>
      <c r="AB36" s="2332"/>
      <c r="AC36" s="2332"/>
      <c r="AD36" s="2332"/>
      <c r="AE36" s="2332"/>
      <c r="AF36" s="2332"/>
      <c r="AG36" s="2332"/>
      <c r="AH36" s="2332"/>
      <c r="AI36" s="2332"/>
      <c r="AJ36" s="2332"/>
      <c r="AK36" s="2332" t="s">
        <v>308</v>
      </c>
      <c r="AQ36" s="1082">
        <v>14</v>
      </c>
    </row>
    <row r="37" spans="1:43" ht="14.65" customHeight="1">
      <c r="Q37" s="313"/>
      <c r="R37" s="313"/>
      <c r="S37" s="2481" t="s">
        <v>89</v>
      </c>
      <c r="T37" s="2429" t="s">
        <v>432</v>
      </c>
      <c r="U37" s="239"/>
      <c r="V37" s="2482" t="s">
        <v>433</v>
      </c>
      <c r="W37" s="2483"/>
      <c r="X37" s="2483"/>
      <c r="Y37" s="2483"/>
      <c r="Z37" s="2483"/>
      <c r="AA37" s="2484"/>
      <c r="AB37" s="2485" t="s">
        <v>434</v>
      </c>
      <c r="AC37" s="2482" t="s">
        <v>433</v>
      </c>
      <c r="AD37" s="2483"/>
      <c r="AE37" s="2483"/>
      <c r="AF37" s="2483"/>
      <c r="AG37" s="2483"/>
      <c r="AH37" s="2484"/>
      <c r="AI37" s="2485" t="s">
        <v>435</v>
      </c>
      <c r="AJ37" s="2488" t="s">
        <v>436</v>
      </c>
      <c r="AK37" s="2332"/>
      <c r="AQ37" s="1082">
        <v>14</v>
      </c>
    </row>
    <row r="38" spans="1:43" ht="35.65" customHeight="1">
      <c r="Q38" s="313"/>
      <c r="R38" s="313"/>
      <c r="S38" s="2481"/>
      <c r="T38" s="2429"/>
      <c r="U38" s="961"/>
      <c r="V38" s="1410" t="s">
        <v>498</v>
      </c>
      <c r="W38" s="2314" t="s">
        <v>439</v>
      </c>
      <c r="X38" s="2313"/>
      <c r="Y38" s="2314" t="s">
        <v>440</v>
      </c>
      <c r="Z38" s="2319"/>
      <c r="AA38" s="2313"/>
      <c r="AB38" s="2486"/>
      <c r="AC38" s="1410" t="s">
        <v>498</v>
      </c>
      <c r="AD38" s="2314" t="s">
        <v>439</v>
      </c>
      <c r="AE38" s="2313"/>
      <c r="AF38" s="2314" t="s">
        <v>440</v>
      </c>
      <c r="AG38" s="2319"/>
      <c r="AH38" s="2313"/>
      <c r="AI38" s="2486"/>
      <c r="AJ38" s="2489"/>
      <c r="AK38" s="2332"/>
      <c r="AQ38" s="1082">
        <v>34</v>
      </c>
    </row>
    <row r="39" spans="1:43" ht="90.4" customHeight="1">
      <c r="A39" s="1297"/>
      <c r="B39" s="1297" t="s">
        <v>136</v>
      </c>
      <c r="C39" s="1297" t="s">
        <v>137</v>
      </c>
      <c r="D39" s="1297" t="s">
        <v>138</v>
      </c>
      <c r="E39" s="1291" t="s">
        <v>441</v>
      </c>
      <c r="F39" s="1291" t="s">
        <v>442</v>
      </c>
      <c r="G39" s="1291" t="s">
        <v>443</v>
      </c>
      <c r="H39" s="1291"/>
      <c r="I39" s="1291" t="s">
        <v>499</v>
      </c>
      <c r="J39" s="1291" t="s">
        <v>446</v>
      </c>
      <c r="K39" s="1291" t="s">
        <v>500</v>
      </c>
      <c r="L39" s="1291" t="s">
        <v>422</v>
      </c>
      <c r="Q39" s="313"/>
      <c r="R39" s="313"/>
      <c r="S39" s="2481"/>
      <c r="T39" s="2429"/>
      <c r="U39" s="240"/>
      <c r="V39" s="1410" t="s">
        <v>527</v>
      </c>
      <c r="W39" s="1149" t="s">
        <v>528</v>
      </c>
      <c r="X39" s="1149" t="s">
        <v>503</v>
      </c>
      <c r="Y39" s="1416" t="s">
        <v>450</v>
      </c>
      <c r="Z39" s="2434" t="s">
        <v>451</v>
      </c>
      <c r="AA39" s="2448"/>
      <c r="AB39" s="2487"/>
      <c r="AC39" s="1410" t="s">
        <v>527</v>
      </c>
      <c r="AD39" s="1149" t="s">
        <v>528</v>
      </c>
      <c r="AE39" s="1149" t="s">
        <v>503</v>
      </c>
      <c r="AF39" s="1416" t="s">
        <v>450</v>
      </c>
      <c r="AG39" s="2434" t="s">
        <v>451</v>
      </c>
      <c r="AH39" s="2448"/>
      <c r="AI39" s="2487"/>
      <c r="AJ39" s="2490"/>
      <c r="AK39" s="2332"/>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409">
        <f ca="1">OFFSET(V40,0,-1)+1</f>
        <v>3</v>
      </c>
      <c r="W40" s="1409">
        <f ca="1">OFFSET(W40,0,-1)+1</f>
        <v>4</v>
      </c>
      <c r="X40" s="1409">
        <f ca="1">OFFSET(X40,0,-1)+1</f>
        <v>5</v>
      </c>
      <c r="Y40" s="1409">
        <f ca="1">OFFSET(Y40,0,-1)+1</f>
        <v>6</v>
      </c>
      <c r="Z40" s="2479">
        <f ca="1">OFFSET(Z40,0,-1)+1</f>
        <v>7</v>
      </c>
      <c r="AA40" s="2479"/>
      <c r="AB40" s="1409">
        <f ca="1">OFFSET(AB40,0,-2)+1</f>
        <v>8</v>
      </c>
      <c r="AC40" s="1409">
        <f ca="1">OFFSET(AC40,0,-1)+1</f>
        <v>9</v>
      </c>
      <c r="AD40" s="1409">
        <f ca="1">OFFSET(AD40,0,-1)+1</f>
        <v>10</v>
      </c>
      <c r="AE40" s="1409">
        <f ca="1">OFFSET(AE40,0,-1)+1</f>
        <v>11</v>
      </c>
      <c r="AF40" s="1409">
        <f ca="1">OFFSET(AF40,0,-1)+1</f>
        <v>12</v>
      </c>
      <c r="AG40" s="2479">
        <f ca="1">OFFSET(AG40,0,-1)+1</f>
        <v>13</v>
      </c>
      <c r="AH40" s="2479"/>
      <c r="AI40" s="1409">
        <f ca="1">OFFSET(AI40,0,-2)+1</f>
        <v>14</v>
      </c>
      <c r="AJ40" s="1172">
        <f ca="1">OFFSET(AJ40,0,-1)</f>
        <v>14</v>
      </c>
      <c r="AK40" s="1409">
        <f ca="1">OFFSET(AK40,0,-1)+1</f>
        <v>15</v>
      </c>
      <c r="AL40" s="448"/>
      <c r="AM40" s="448"/>
      <c r="AN40" s="448"/>
      <c r="AO40" s="448"/>
      <c r="AP40" s="448"/>
      <c r="AQ40" s="433">
        <v>0</v>
      </c>
    </row>
    <row r="41" spans="1:43" ht="24" customHeight="1">
      <c r="A41" s="1290" t="s">
        <v>278</v>
      </c>
      <c r="B41" s="1290"/>
      <c r="C41" s="1290"/>
      <c r="D41" s="1290"/>
      <c r="E41" s="2468">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124</v>
      </c>
      <c r="U41" s="238"/>
      <c r="V41" s="2462"/>
      <c r="W41" s="2463"/>
      <c r="X41" s="2463"/>
      <c r="Y41" s="2463"/>
      <c r="Z41" s="2463"/>
      <c r="AA41" s="2463"/>
      <c r="AB41" s="2464"/>
      <c r="AC41" s="2462" t="str">
        <f>INDEX(PT_DIFFERENTIATION_NTAR,MATCH(A41,PT_DIFFERENTIATION_NTAR_ID,0))</f>
        <v/>
      </c>
      <c r="AD41" s="2463"/>
      <c r="AE41" s="2463"/>
      <c r="AF41" s="2463"/>
      <c r="AG41" s="2463"/>
      <c r="AH41" s="2463"/>
      <c r="AI41" s="2463"/>
      <c r="AJ41" s="246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278</v>
      </c>
      <c r="B42" s="1290" t="s">
        <v>279</v>
      </c>
      <c r="C42" s="1290"/>
      <c r="D42" s="1290"/>
      <c r="E42" s="2469"/>
      <c r="F42" s="2468">
        <v>1</v>
      </c>
      <c r="G42" s="1290"/>
      <c r="H42" s="1290"/>
      <c r="I42" s="1290"/>
      <c r="J42" s="1290"/>
      <c r="K42" s="1290"/>
      <c r="L42" s="1291"/>
      <c r="M42" s="1292"/>
      <c r="N42" s="1292"/>
      <c r="O42" s="1292"/>
      <c r="P42" s="1414"/>
      <c r="Q42" s="289"/>
      <c r="R42" s="290"/>
      <c r="S42" s="1420" t="str">
        <f>INDEX(PT_DIFFERENTIATION_NUM_TER,MATCH(B42,PT_DIFFERENTIATION_TER_ID,0))</f>
        <v>.</v>
      </c>
      <c r="T42" s="246" t="s">
        <v>404</v>
      </c>
      <c r="U42" s="238"/>
      <c r="V42" s="2462"/>
      <c r="W42" s="2463"/>
      <c r="X42" s="2463"/>
      <c r="Y42" s="2463"/>
      <c r="Z42" s="2463"/>
      <c r="AA42" s="2463"/>
      <c r="AB42" s="2464"/>
      <c r="AC42" s="2462" t="str">
        <f>INDEX(PT_DIFFERENTIATION_TER,MATCH(B42,PT_DIFFERENTIATION_TER_ID,0))</f>
        <v/>
      </c>
      <c r="AD42" s="2463"/>
      <c r="AE42" s="2463"/>
      <c r="AF42" s="2463"/>
      <c r="AG42" s="2463"/>
      <c r="AH42" s="2463"/>
      <c r="AI42" s="2463"/>
      <c r="AJ42" s="2464"/>
      <c r="AK42" s="1185" t="s">
        <v>405</v>
      </c>
      <c r="AM42" s="437"/>
      <c r="AN42" s="437" t="str">
        <f t="shared" si="1"/>
        <v>Территория действия тарифа</v>
      </c>
      <c r="AO42" s="437"/>
      <c r="AP42" s="437"/>
      <c r="AQ42" s="1082">
        <v>23</v>
      </c>
    </row>
    <row r="43" spans="1:43" ht="24" customHeight="1">
      <c r="A43" s="1290" t="s">
        <v>278</v>
      </c>
      <c r="B43" s="1290" t="s">
        <v>279</v>
      </c>
      <c r="C43" s="1290" t="s">
        <v>280</v>
      </c>
      <c r="D43" s="1290"/>
      <c r="E43" s="2469"/>
      <c r="F43" s="2469"/>
      <c r="G43" s="2468">
        <v>1</v>
      </c>
      <c r="H43" s="1290"/>
      <c r="I43" s="1290"/>
      <c r="J43" s="1290"/>
      <c r="K43" s="1290"/>
      <c r="L43" s="1291"/>
      <c r="M43" s="1292"/>
      <c r="N43" s="1292"/>
      <c r="O43" s="1292"/>
      <c r="P43" s="291"/>
      <c r="Q43" s="289"/>
      <c r="R43" s="290"/>
      <c r="S43" s="1420" t="str">
        <f>INDEX(PT_DIFFERENTIATION_NUM_CS,MATCH(C43,PT_DIFFERENTIATION_CS_ID,0))</f>
        <v>..</v>
      </c>
      <c r="T43" s="247" t="s">
        <v>525</v>
      </c>
      <c r="U43" s="238"/>
      <c r="V43" s="2462"/>
      <c r="W43" s="2463"/>
      <c r="X43" s="2463"/>
      <c r="Y43" s="2463"/>
      <c r="Z43" s="2463"/>
      <c r="AA43" s="2463"/>
      <c r="AB43" s="2464"/>
      <c r="AC43" s="2462" t="str">
        <f>INDEX(PT_DIFFERENTIATION_CS,MATCH(C43,PT_DIFFERENTIATION_CS_ID,0))</f>
        <v/>
      </c>
      <c r="AD43" s="2463"/>
      <c r="AE43" s="2463"/>
      <c r="AF43" s="2463"/>
      <c r="AG43" s="2463"/>
      <c r="AH43" s="2463"/>
      <c r="AI43" s="2463"/>
      <c r="AJ43" s="2464"/>
      <c r="AK43" s="1185" t="s">
        <v>526</v>
      </c>
      <c r="AM43" s="437"/>
      <c r="AN43" s="437" t="str">
        <f t="shared" si="1"/>
        <v>Наименование централизованной системы водоотведения</v>
      </c>
      <c r="AO43" s="437"/>
      <c r="AP43" s="437"/>
      <c r="AQ43" s="1082">
        <v>23</v>
      </c>
    </row>
    <row r="44" spans="1:43" ht="24" customHeight="1">
      <c r="A44" s="1290" t="s">
        <v>278</v>
      </c>
      <c r="B44" s="1290" t="s">
        <v>279</v>
      </c>
      <c r="C44" s="1290" t="s">
        <v>280</v>
      </c>
      <c r="D44" s="1290" t="s">
        <v>530</v>
      </c>
      <c r="E44" s="2469"/>
      <c r="F44" s="2469"/>
      <c r="G44" s="2469"/>
      <c r="H44" s="2469"/>
      <c r="I44" s="2470" t="str">
        <f>S43&amp;".1"</f>
        <v>...1</v>
      </c>
      <c r="J44" s="1290"/>
      <c r="K44" s="1290"/>
      <c r="L44" s="1291"/>
      <c r="P44" s="2472">
        <v>1</v>
      </c>
      <c r="Q44" s="1408"/>
      <c r="R44" s="293"/>
      <c r="S44" s="1420" t="str">
        <f>$I44</f>
        <v>...1</v>
      </c>
      <c r="T44" s="223" t="s">
        <v>492</v>
      </c>
      <c r="U44" s="238"/>
      <c r="V44" s="2549"/>
      <c r="W44" s="2550"/>
      <c r="X44" s="2550"/>
      <c r="Y44" s="2550"/>
      <c r="Z44" s="2550"/>
      <c r="AA44" s="2550"/>
      <c r="AB44" s="2551"/>
      <c r="AC44" s="2552"/>
      <c r="AD44" s="2553"/>
      <c r="AE44" s="2553"/>
      <c r="AF44" s="2553"/>
      <c r="AG44" s="2553"/>
      <c r="AH44" s="2553"/>
      <c r="AI44" s="2553"/>
      <c r="AJ44" s="2554"/>
      <c r="AK44" s="1185" t="s">
        <v>493</v>
      </c>
      <c r="AM44" s="437"/>
      <c r="AN44" s="437" t="str">
        <f t="shared" si="1"/>
        <v>Наименование признака дифференциации</v>
      </c>
      <c r="AO44" s="437"/>
      <c r="AP44" s="437"/>
      <c r="AQ44" s="1082">
        <v>23</v>
      </c>
    </row>
    <row r="45" spans="1:43" ht="24" customHeight="1">
      <c r="A45" s="1290" t="s">
        <v>278</v>
      </c>
      <c r="B45" s="1290" t="s">
        <v>279</v>
      </c>
      <c r="C45" s="1290" t="s">
        <v>280</v>
      </c>
      <c r="D45" s="1290" t="s">
        <v>530</v>
      </c>
      <c r="E45" s="2469"/>
      <c r="F45" s="2469"/>
      <c r="G45" s="2469"/>
      <c r="H45" s="2469"/>
      <c r="I45" s="2471"/>
      <c r="J45" s="2470" t="str">
        <f>I44&amp;".1"</f>
        <v>...1.1</v>
      </c>
      <c r="K45" s="1290"/>
      <c r="L45" s="1291" t="s">
        <v>413</v>
      </c>
      <c r="P45" s="2472"/>
      <c r="Q45" s="2472">
        <v>1</v>
      </c>
      <c r="R45" s="294"/>
      <c r="S45" s="1420" t="str">
        <f>$J45</f>
        <v>...1.1</v>
      </c>
      <c r="T45" s="224" t="s">
        <v>414</v>
      </c>
      <c r="U45" s="238"/>
      <c r="V45" s="2456"/>
      <c r="W45" s="2457"/>
      <c r="X45" s="2457"/>
      <c r="Y45" s="2457"/>
      <c r="Z45" s="2457"/>
      <c r="AA45" s="2457"/>
      <c r="AB45" s="2458"/>
      <c r="AC45" s="2456"/>
      <c r="AD45" s="2457"/>
      <c r="AE45" s="2457"/>
      <c r="AF45" s="2457"/>
      <c r="AG45" s="2457"/>
      <c r="AH45" s="2457"/>
      <c r="AI45" s="2457"/>
      <c r="AJ45" s="2458"/>
      <c r="AK45" s="1234" t="s">
        <v>494</v>
      </c>
      <c r="AM45" s="437"/>
      <c r="AN45" s="437" t="str">
        <f t="shared" si="1"/>
        <v>Группа потребителей</v>
      </c>
      <c r="AO45" s="437"/>
      <c r="AP45" s="437"/>
      <c r="AQ45" s="1082">
        <v>23</v>
      </c>
    </row>
    <row r="46" spans="1:43" ht="24" customHeight="1">
      <c r="A46" s="1290" t="s">
        <v>278</v>
      </c>
      <c r="B46" s="1290" t="s">
        <v>279</v>
      </c>
      <c r="C46" s="1290" t="s">
        <v>280</v>
      </c>
      <c r="D46" s="1290" t="s">
        <v>530</v>
      </c>
      <c r="E46" s="2469"/>
      <c r="F46" s="2469"/>
      <c r="G46" s="2469"/>
      <c r="H46" s="2469"/>
      <c r="I46" s="2471"/>
      <c r="J46" s="2471"/>
      <c r="K46" s="2470" t="str">
        <f>J45&amp;".1"</f>
        <v>...1.1.1</v>
      </c>
      <c r="L46" s="1291"/>
      <c r="P46" s="2472"/>
      <c r="Q46" s="2472"/>
      <c r="R46" s="294">
        <v>1</v>
      </c>
      <c r="S46" s="1420" t="str">
        <f>$K46</f>
        <v>...1.1.1</v>
      </c>
      <c r="T46" s="1364"/>
      <c r="U46" s="238"/>
      <c r="V46" s="1287"/>
      <c r="W46" s="1287"/>
      <c r="X46" s="1288"/>
      <c r="Y46" s="2466"/>
      <c r="Z46" s="2465" t="s">
        <v>67</v>
      </c>
      <c r="AA46" s="2466"/>
      <c r="AB46" s="2465" t="s">
        <v>67</v>
      </c>
      <c r="AC46" s="688"/>
      <c r="AD46" s="688"/>
      <c r="AE46" s="1184"/>
      <c r="AF46" s="2473"/>
      <c r="AG46" s="2342" t="s">
        <v>67</v>
      </c>
      <c r="AH46" s="2475"/>
      <c r="AI46" s="2342" t="s">
        <v>19</v>
      </c>
      <c r="AJ46" s="1365"/>
      <c r="AK46" s="25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278</v>
      </c>
      <c r="B47" s="1290" t="s">
        <v>279</v>
      </c>
      <c r="C47" s="1290" t="s">
        <v>280</v>
      </c>
      <c r="D47" s="1290" t="s">
        <v>530</v>
      </c>
      <c r="E47" s="2469"/>
      <c r="F47" s="2469"/>
      <c r="G47" s="2469"/>
      <c r="H47" s="2469"/>
      <c r="I47" s="2471"/>
      <c r="J47" s="2471"/>
      <c r="K47" s="2470"/>
      <c r="L47" s="1291"/>
      <c r="P47" s="2472"/>
      <c r="Q47" s="2472"/>
      <c r="R47" s="294"/>
      <c r="S47" s="1417"/>
      <c r="T47" s="238"/>
      <c r="U47" s="238"/>
      <c r="V47" s="1287"/>
      <c r="W47" s="1287"/>
      <c r="X47" s="266" t="str">
        <f>Y46&amp;"-"&amp;AA46</f>
        <v>-</v>
      </c>
      <c r="Y47" s="2465"/>
      <c r="Z47" s="2465"/>
      <c r="AA47" s="2465"/>
      <c r="AB47" s="2465"/>
      <c r="AC47" s="263"/>
      <c r="AD47" s="263"/>
      <c r="AE47" s="266" t="str">
        <f>AF46&amp;"-"&amp;AH46</f>
        <v>-</v>
      </c>
      <c r="AF47" s="2474"/>
      <c r="AG47" s="2342"/>
      <c r="AH47" s="2476"/>
      <c r="AI47" s="2342"/>
      <c r="AJ47" s="1366"/>
      <c r="AK47" s="2555"/>
      <c r="AM47" s="437"/>
      <c r="AN47" s="437" t="str">
        <f t="shared" si="1"/>
        <v/>
      </c>
      <c r="AO47" s="437"/>
      <c r="AP47" s="437"/>
      <c r="AQ47" s="1082">
        <v>0</v>
      </c>
    </row>
    <row r="48" spans="1:43" ht="21" customHeight="1">
      <c r="A48" s="1290" t="s">
        <v>278</v>
      </c>
      <c r="B48" s="1290" t="s">
        <v>279</v>
      </c>
      <c r="C48" s="1290" t="s">
        <v>280</v>
      </c>
      <c r="D48" s="1290" t="s">
        <v>530</v>
      </c>
      <c r="E48" s="2469"/>
      <c r="F48" s="2469"/>
      <c r="G48" s="2469"/>
      <c r="H48" s="2469"/>
      <c r="I48" s="2471"/>
      <c r="J48" s="2470"/>
      <c r="K48" s="1290"/>
      <c r="L48" s="1291"/>
      <c r="P48" s="2472"/>
      <c r="Q48" s="2472"/>
      <c r="R48" s="293"/>
      <c r="S48" s="1205"/>
      <c r="T48" s="225" t="s">
        <v>495</v>
      </c>
      <c r="U48" s="304"/>
      <c r="V48" s="304"/>
      <c r="W48" s="304"/>
      <c r="X48" s="304"/>
      <c r="Y48" s="304"/>
      <c r="Z48" s="304"/>
      <c r="AA48" s="304"/>
      <c r="AB48" s="304"/>
      <c r="AC48" s="304"/>
      <c r="AD48" s="304"/>
      <c r="AE48" s="304"/>
      <c r="AF48" s="304"/>
      <c r="AG48" s="304"/>
      <c r="AH48" s="304"/>
      <c r="AI48" s="304"/>
      <c r="AJ48" s="304"/>
      <c r="AK48" s="1185" t="s">
        <v>496</v>
      </c>
      <c r="AM48" s="437"/>
      <c r="AN48" s="437" t="str">
        <f t="shared" si="1"/>
        <v>Добавить значение признака дифференциации</v>
      </c>
      <c r="AO48" s="437"/>
      <c r="AP48" s="437"/>
      <c r="AQ48" s="1082">
        <v>20</v>
      </c>
    </row>
    <row r="49" spans="1:43" ht="21.95" customHeight="1">
      <c r="A49" s="1290" t="s">
        <v>278</v>
      </c>
      <c r="B49" s="1290" t="s">
        <v>279</v>
      </c>
      <c r="C49" s="1290" t="s">
        <v>280</v>
      </c>
      <c r="D49" s="1290" t="s">
        <v>530</v>
      </c>
      <c r="E49" s="2469"/>
      <c r="F49" s="2469"/>
      <c r="G49" s="2469"/>
      <c r="H49" s="2469"/>
      <c r="I49" s="2470"/>
      <c r="J49" s="1290"/>
      <c r="K49" s="1290"/>
      <c r="L49" s="1291"/>
      <c r="P49" s="2472"/>
      <c r="Q49" s="1408"/>
      <c r="R49" s="293"/>
      <c r="S49" s="1205"/>
      <c r="T49" s="302" t="s">
        <v>419</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278</v>
      </c>
      <c r="B50" s="1290" t="s">
        <v>279</v>
      </c>
      <c r="C50" s="1290" t="s">
        <v>280</v>
      </c>
      <c r="D50" s="1290" t="s">
        <v>530</v>
      </c>
      <c r="E50" s="2469"/>
      <c r="F50" s="2469"/>
      <c r="G50" s="2469"/>
      <c r="H50" s="2468"/>
      <c r="I50" s="1290"/>
      <c r="J50" s="1290"/>
      <c r="K50" s="1290"/>
      <c r="L50" s="1291"/>
      <c r="M50" s="1292"/>
      <c r="N50" s="1292"/>
      <c r="O50" s="474"/>
      <c r="P50" s="297"/>
      <c r="Q50" s="312"/>
      <c r="R50" s="292"/>
      <c r="S50" s="1205"/>
      <c r="T50" s="309" t="s">
        <v>497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278</v>
      </c>
      <c r="B51" s="1270" t="s">
        <v>279</v>
      </c>
      <c r="C51" s="1241"/>
      <c r="D51" s="1241"/>
      <c r="E51" s="2469"/>
      <c r="F51" s="2468"/>
      <c r="G51" s="1241"/>
      <c r="H51" s="1241"/>
      <c r="I51" s="1241"/>
      <c r="J51" s="1241"/>
      <c r="K51" s="1241"/>
      <c r="L51" s="1421"/>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278</v>
      </c>
      <c r="B52" s="1270"/>
      <c r="C52" s="1270"/>
      <c r="D52" s="1270"/>
      <c r="E52" s="2468"/>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467"/>
      <c r="U55" s="2467"/>
      <c r="V55" s="2467"/>
      <c r="W55" s="2467"/>
      <c r="X55" s="2467"/>
      <c r="Y55" s="2467"/>
      <c r="Z55" s="2467"/>
      <c r="AA55" s="2467"/>
      <c r="AB55" s="2467"/>
      <c r="AC55" s="2467"/>
      <c r="AD55" s="2467"/>
      <c r="AE55" s="2467"/>
      <c r="AF55" s="2467"/>
      <c r="AG55" s="2467"/>
      <c r="AH55" s="2467"/>
      <c r="AI55" s="2467"/>
      <c r="AJ55" s="2467"/>
      <c r="AK55" s="2467"/>
      <c r="AQ55" s="1082">
        <v>14</v>
      </c>
    </row>
    <row r="56" spans="1:43" ht="14.65" customHeight="1">
      <c r="O56" s="474"/>
      <c r="AQ56" s="1082">
        <v>14</v>
      </c>
    </row>
    <row r="57" spans="1:43" ht="14.65" customHeight="1">
      <c r="O57" s="474"/>
      <c r="S57" s="1180"/>
      <c r="T57" s="2467"/>
      <c r="U57" s="2467"/>
      <c r="V57" s="2467"/>
      <c r="W57" s="2467"/>
      <c r="X57" s="2467"/>
      <c r="Y57" s="2467"/>
      <c r="Z57" s="2467"/>
      <c r="AA57" s="2467"/>
      <c r="AB57" s="2467"/>
      <c r="AC57" s="2467"/>
      <c r="AD57" s="2467"/>
      <c r="AE57" s="2467"/>
      <c r="AF57" s="2467"/>
      <c r="AG57" s="2467"/>
      <c r="AH57" s="2467"/>
      <c r="AI57" s="2467"/>
      <c r="AJ57" s="2467"/>
      <c r="AK57" s="2467"/>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DAD31-C54B-1BC8-A4A5-4E1775BAB14D}">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9"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468">
        <v>1</v>
      </c>
      <c r="F2" s="1290"/>
      <c r="G2" s="1290"/>
      <c r="H2" s="1290"/>
      <c r="I2" s="1290"/>
      <c r="J2" s="1290"/>
      <c r="K2" s="1290"/>
      <c r="L2" s="1291"/>
      <c r="M2" s="1292"/>
      <c r="N2" s="1292"/>
      <c r="O2" s="1292"/>
      <c r="P2" s="1336"/>
      <c r="Q2" s="804"/>
      <c r="R2" s="292"/>
      <c r="S2" s="1420" t="e">
        <f>INDEX(PT_DIFFERENTIATION_NUM_NTAR,MATCH(A2,PT_DIFFERENTIATION_NTAR_ID,0))</f>
        <v>#N/A</v>
      </c>
      <c r="T2" s="236" t="s">
        <v>124</v>
      </c>
      <c r="U2" s="238"/>
      <c r="V2" s="2463"/>
      <c r="W2" s="2463"/>
      <c r="X2" s="2463"/>
      <c r="Y2" s="2463"/>
      <c r="Z2" s="2463"/>
      <c r="AA2" s="2463"/>
      <c r="AB2" s="2463"/>
      <c r="AC2" s="2464"/>
      <c r="AD2" s="2462" t="e">
        <f>INDEX(PT_DIFFERENTIATION_NTAR,MATCH(A2,PT_DIFFERENTIATION_NTAR_ID,0))</f>
        <v>#N/A</v>
      </c>
      <c r="AE2" s="2463"/>
      <c r="AF2" s="2463"/>
      <c r="AG2" s="2463"/>
      <c r="AH2" s="2463"/>
      <c r="AI2" s="2463"/>
      <c r="AJ2" s="2463"/>
      <c r="AK2" s="2463"/>
      <c r="AL2" s="2463"/>
      <c r="AM2" s="2463"/>
      <c r="AN2" s="2463"/>
      <c r="AO2" s="2463"/>
      <c r="AP2" s="2463"/>
      <c r="AQ2" s="2463"/>
      <c r="AR2" s="2463"/>
      <c r="AS2" s="2463"/>
      <c r="AT2" s="2463"/>
      <c r="AU2" s="2463"/>
      <c r="AV2" s="2463"/>
      <c r="AW2" s="2463"/>
      <c r="AX2" s="2463"/>
      <c r="AY2" s="2463"/>
      <c r="AZ2" s="2463"/>
      <c r="BA2" s="2463"/>
      <c r="BB2" s="2464"/>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469"/>
      <c r="F3" s="2468">
        <v>1</v>
      </c>
      <c r="G3" s="1290"/>
      <c r="H3" s="1290"/>
      <c r="I3" s="1290"/>
      <c r="J3" s="1290"/>
      <c r="K3" s="1290"/>
      <c r="L3" s="1291"/>
      <c r="M3" s="1292"/>
      <c r="N3" s="1292"/>
      <c r="O3" s="1292"/>
      <c r="P3" s="1337"/>
      <c r="Q3" s="1338"/>
      <c r="R3" s="290"/>
      <c r="S3" s="1420" t="e">
        <f>INDEX(PT_DIFFERENTIATION_NUM_TER,MATCH(B3,PT_DIFFERENTIATION_TER_ID,0))</f>
        <v>#N/A</v>
      </c>
      <c r="T3" s="246" t="s">
        <v>404</v>
      </c>
      <c r="U3" s="238"/>
      <c r="V3" s="2463"/>
      <c r="W3" s="2463"/>
      <c r="X3" s="2463"/>
      <c r="Y3" s="2463"/>
      <c r="Z3" s="2463"/>
      <c r="AA3" s="2463"/>
      <c r="AB3" s="2463"/>
      <c r="AC3" s="2464"/>
      <c r="AD3" s="2462" t="e">
        <f>INDEX(PT_DIFFERENTIATION_TER,MATCH(B3,PT_DIFFERENTIATION_TER_ID,0))</f>
        <v>#N/A</v>
      </c>
      <c r="AE3" s="2463"/>
      <c r="AF3" s="2463"/>
      <c r="AG3" s="2463"/>
      <c r="AH3" s="2463"/>
      <c r="AI3" s="2463"/>
      <c r="AJ3" s="2463"/>
      <c r="AK3" s="2463"/>
      <c r="AL3" s="2463"/>
      <c r="AM3" s="2463"/>
      <c r="AN3" s="2463"/>
      <c r="AO3" s="2463"/>
      <c r="AP3" s="2463"/>
      <c r="AQ3" s="2463"/>
      <c r="AR3" s="2463"/>
      <c r="AS3" s="2463"/>
      <c r="AT3" s="2463"/>
      <c r="AU3" s="2463"/>
      <c r="AV3" s="2463"/>
      <c r="AW3" s="2463"/>
      <c r="AX3" s="2463"/>
      <c r="AY3" s="2463"/>
      <c r="AZ3" s="2463"/>
      <c r="BA3" s="2463"/>
      <c r="BB3" s="2464"/>
      <c r="BC3" s="1185" t="s">
        <v>405</v>
      </c>
      <c r="BE3" s="437"/>
      <c r="BF3" s="437" t="str">
        <f t="shared" si="0"/>
        <v>Территория действия тарифа</v>
      </c>
      <c r="BG3" s="437"/>
      <c r="BH3" s="437"/>
      <c r="BI3" s="1082">
        <v>0</v>
      </c>
    </row>
    <row r="4" spans="1:61" ht="33.75" hidden="1" customHeight="1">
      <c r="A4" s="1290"/>
      <c r="B4" s="1290"/>
      <c r="C4" s="1290"/>
      <c r="D4" s="1290"/>
      <c r="E4" s="2469"/>
      <c r="F4" s="2469"/>
      <c r="G4" s="2468">
        <v>1</v>
      </c>
      <c r="H4" s="1290"/>
      <c r="I4" s="1290"/>
      <c r="J4" s="1290"/>
      <c r="K4" s="1290"/>
      <c r="L4" s="1291"/>
      <c r="M4" s="1292"/>
      <c r="N4" s="1292"/>
      <c r="O4" s="1292"/>
      <c r="P4" s="1339"/>
      <c r="Q4" s="1338"/>
      <c r="R4" s="290"/>
      <c r="S4" s="1420" t="e">
        <f>INDEX(PT_DIFFERENTIATION_NUM_CS,MATCH(C4,PT_DIFFERENTIATION_CS_ID,0))</f>
        <v>#N/A</v>
      </c>
      <c r="T4" s="247" t="s">
        <v>525</v>
      </c>
      <c r="U4" s="238"/>
      <c r="V4" s="2463"/>
      <c r="W4" s="2463"/>
      <c r="X4" s="2463"/>
      <c r="Y4" s="2463"/>
      <c r="Z4" s="2463"/>
      <c r="AA4" s="2463"/>
      <c r="AB4" s="2463"/>
      <c r="AC4" s="2464"/>
      <c r="AD4" s="2462" t="e">
        <f>INDEX(PT_DIFFERENTIATION_CS,MATCH(C4,PT_DIFFERENTIATION_CS_ID,0))</f>
        <v>#N/A</v>
      </c>
      <c r="AE4" s="2463"/>
      <c r="AF4" s="2463"/>
      <c r="AG4" s="2463"/>
      <c r="AH4" s="2463"/>
      <c r="AI4" s="2463"/>
      <c r="AJ4" s="2463"/>
      <c r="AK4" s="2463"/>
      <c r="AL4" s="2463"/>
      <c r="AM4" s="2463"/>
      <c r="AN4" s="2463"/>
      <c r="AO4" s="2463"/>
      <c r="AP4" s="2463"/>
      <c r="AQ4" s="2463"/>
      <c r="AR4" s="2463"/>
      <c r="AS4" s="2463"/>
      <c r="AT4" s="2463"/>
      <c r="AU4" s="2463"/>
      <c r="AV4" s="2463"/>
      <c r="AW4" s="2463"/>
      <c r="AX4" s="2463"/>
      <c r="AY4" s="2463"/>
      <c r="AZ4" s="2463"/>
      <c r="BA4" s="2463"/>
      <c r="BB4" s="2464"/>
      <c r="BC4" s="1185" t="s">
        <v>526</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469"/>
      <c r="F5" s="2469"/>
      <c r="G5" s="2469"/>
      <c r="H5" s="2468">
        <v>1</v>
      </c>
      <c r="I5" s="1270"/>
      <c r="J5" s="1270"/>
      <c r="K5" s="1270"/>
      <c r="L5" s="1273"/>
      <c r="M5" s="1242"/>
      <c r="N5" s="1242"/>
      <c r="O5" s="1242"/>
      <c r="P5" s="1424"/>
      <c r="Q5" s="1425"/>
      <c r="R5" s="294"/>
      <c r="S5" s="972"/>
      <c r="T5" s="1426"/>
      <c r="U5" s="1311"/>
      <c r="V5" s="2510"/>
      <c r="W5" s="2510"/>
      <c r="X5" s="2510"/>
      <c r="Y5" s="2510"/>
      <c r="Z5" s="2510"/>
      <c r="AA5" s="2510"/>
      <c r="AB5" s="2510"/>
      <c r="AC5" s="2511"/>
      <c r="AD5" s="2509"/>
      <c r="AE5" s="2510"/>
      <c r="AF5" s="2510"/>
      <c r="AG5" s="2510"/>
      <c r="AH5" s="2510"/>
      <c r="AI5" s="2510"/>
      <c r="AJ5" s="2510"/>
      <c r="AK5" s="2510"/>
      <c r="AL5" s="2510"/>
      <c r="AM5" s="2510"/>
      <c r="AN5" s="2510"/>
      <c r="AO5" s="2510"/>
      <c r="AP5" s="2510"/>
      <c r="AQ5" s="2510"/>
      <c r="AR5" s="2510"/>
      <c r="AS5" s="2510"/>
      <c r="AT5" s="2510"/>
      <c r="AU5" s="2510"/>
      <c r="AV5" s="2510"/>
      <c r="AW5" s="2510"/>
      <c r="AX5" s="2510"/>
      <c r="AY5" s="2510"/>
      <c r="AZ5" s="2510"/>
      <c r="BA5" s="2510"/>
      <c r="BB5" s="2511"/>
      <c r="BC5" s="1312" t="s">
        <v>409</v>
      </c>
      <c r="BE5" s="437"/>
      <c r="BF5" s="437" t="str">
        <f t="shared" si="0"/>
        <v/>
      </c>
      <c r="BG5" s="437"/>
      <c r="BH5" s="437"/>
      <c r="BI5" s="448">
        <v>0</v>
      </c>
    </row>
    <row r="6" spans="1:61" s="1569" customFormat="1" ht="14.25" hidden="1" customHeight="1">
      <c r="A6" s="1270"/>
      <c r="B6" s="1270"/>
      <c r="C6" s="1270"/>
      <c r="D6" s="1270"/>
      <c r="E6" s="2469"/>
      <c r="F6" s="2469"/>
      <c r="G6" s="2469"/>
      <c r="H6" s="2469"/>
      <c r="I6" s="2470" t="str">
        <f>S5&amp;".1"</f>
        <v>.1</v>
      </c>
      <c r="J6" s="1270"/>
      <c r="K6" s="1270"/>
      <c r="L6" s="1273" t="s">
        <v>410</v>
      </c>
      <c r="M6" s="447"/>
      <c r="N6" s="447"/>
      <c r="O6" s="447"/>
      <c r="P6" s="2472">
        <v>1</v>
      </c>
      <c r="Q6" s="1408"/>
      <c r="R6" s="293"/>
      <c r="S6" s="972"/>
      <c r="T6" s="1310"/>
      <c r="U6" s="1311"/>
      <c r="V6" s="2510"/>
      <c r="W6" s="2510"/>
      <c r="X6" s="2510"/>
      <c r="Y6" s="2510"/>
      <c r="Z6" s="2510"/>
      <c r="AA6" s="2510"/>
      <c r="AB6" s="2510"/>
      <c r="AC6" s="2511"/>
      <c r="AD6" s="2509"/>
      <c r="AE6" s="2510"/>
      <c r="AF6" s="2510"/>
      <c r="AG6" s="2510"/>
      <c r="AH6" s="2510"/>
      <c r="AI6" s="2510"/>
      <c r="AJ6" s="2510"/>
      <c r="AK6" s="2510"/>
      <c r="AL6" s="2510"/>
      <c r="AM6" s="2510"/>
      <c r="AN6" s="2510"/>
      <c r="AO6" s="2510"/>
      <c r="AP6" s="2510"/>
      <c r="AQ6" s="2510"/>
      <c r="AR6" s="2510"/>
      <c r="AS6" s="2510"/>
      <c r="AT6" s="2510"/>
      <c r="AU6" s="2510"/>
      <c r="AV6" s="2510"/>
      <c r="AW6" s="2510"/>
      <c r="AX6" s="2510"/>
      <c r="AY6" s="2510"/>
      <c r="AZ6" s="2510"/>
      <c r="BA6" s="2510"/>
      <c r="BB6" s="2511"/>
      <c r="BC6" s="1312"/>
      <c r="BE6" s="437"/>
      <c r="BF6" s="437" t="str">
        <f t="shared" si="0"/>
        <v/>
      </c>
      <c r="BG6" s="437"/>
      <c r="BH6" s="437"/>
      <c r="BI6" s="448">
        <v>0</v>
      </c>
    </row>
    <row r="7" spans="1:61" s="1569" customFormat="1" ht="14.25" hidden="1" customHeight="1">
      <c r="A7" s="1270"/>
      <c r="B7" s="1270"/>
      <c r="C7" s="1270"/>
      <c r="D7" s="1270"/>
      <c r="E7" s="2469"/>
      <c r="F7" s="2469"/>
      <c r="G7" s="2469"/>
      <c r="H7" s="2469"/>
      <c r="I7" s="2471"/>
      <c r="J7" s="2470" t="str">
        <f>S5&amp;".1"</f>
        <v>.1</v>
      </c>
      <c r="K7" s="1270"/>
      <c r="L7" s="1273"/>
      <c r="M7" s="447"/>
      <c r="N7" s="447"/>
      <c r="O7" s="447"/>
      <c r="P7" s="2472"/>
      <c r="Q7" s="2472">
        <v>1</v>
      </c>
      <c r="R7" s="294"/>
      <c r="S7" s="972"/>
      <c r="T7" s="1326"/>
      <c r="U7" s="1311"/>
      <c r="V7" s="2510"/>
      <c r="W7" s="2510"/>
      <c r="X7" s="2510"/>
      <c r="Y7" s="2510"/>
      <c r="Z7" s="2510"/>
      <c r="AA7" s="2510"/>
      <c r="AB7" s="2510"/>
      <c r="AC7" s="2511"/>
      <c r="AD7" s="2509"/>
      <c r="AE7" s="2510"/>
      <c r="AF7" s="2510"/>
      <c r="AG7" s="2510"/>
      <c r="AH7" s="2510"/>
      <c r="AI7" s="2510"/>
      <c r="AJ7" s="2510"/>
      <c r="AK7" s="2510"/>
      <c r="AL7" s="2510"/>
      <c r="AM7" s="2510"/>
      <c r="AN7" s="2510"/>
      <c r="AO7" s="2510"/>
      <c r="AP7" s="2510"/>
      <c r="AQ7" s="2510"/>
      <c r="AR7" s="2510"/>
      <c r="AS7" s="2510"/>
      <c r="AT7" s="2510"/>
      <c r="AU7" s="2510"/>
      <c r="AV7" s="2510"/>
      <c r="AW7" s="2510"/>
      <c r="AX7" s="2510"/>
      <c r="AY7" s="2510"/>
      <c r="AZ7" s="2510"/>
      <c r="BA7" s="2510"/>
      <c r="BB7" s="2511"/>
      <c r="BC7" s="1312"/>
      <c r="BE7" s="437"/>
      <c r="BF7" s="437" t="str">
        <f t="shared" si="0"/>
        <v/>
      </c>
      <c r="BG7" s="437"/>
      <c r="BH7" s="437"/>
      <c r="BI7" s="448">
        <v>0</v>
      </c>
    </row>
    <row r="8" spans="1:61" ht="11.25" hidden="1" customHeight="1">
      <c r="A8" s="1290"/>
      <c r="B8" s="1290"/>
      <c r="C8" s="1290"/>
      <c r="D8" s="1290"/>
      <c r="E8" s="2469"/>
      <c r="F8" s="2469"/>
      <c r="G8" s="2469"/>
      <c r="H8" s="2469"/>
      <c r="I8" s="2471"/>
      <c r="J8" s="2471"/>
      <c r="K8" s="2470" t="e">
        <f>S4&amp;".1"</f>
        <v>#N/A</v>
      </c>
      <c r="L8" s="1291"/>
      <c r="P8" s="2472"/>
      <c r="Q8" s="2472"/>
      <c r="R8" s="2541">
        <v>1</v>
      </c>
      <c r="S8" s="2538" t="e">
        <f>$K8</f>
        <v>#N/A</v>
      </c>
      <c r="T8" s="2558"/>
      <c r="U8" s="238"/>
      <c r="V8" s="688"/>
      <c r="W8" s="1184"/>
      <c r="X8" s="688"/>
      <c r="Y8" s="1184"/>
      <c r="Z8" s="1660"/>
      <c r="AA8" s="1396" t="s">
        <v>67</v>
      </c>
      <c r="AB8" s="1660"/>
      <c r="AC8" s="1396" t="s">
        <v>67</v>
      </c>
      <c r="AD8" s="2392" t="s">
        <v>67</v>
      </c>
      <c r="AE8" s="2534"/>
      <c r="AF8" s="2425">
        <v>1</v>
      </c>
      <c r="AG8" s="2557"/>
      <c r="AH8" s="2342" t="s">
        <v>67</v>
      </c>
      <c r="AI8" s="2534"/>
      <c r="AJ8" s="2425">
        <v>1</v>
      </c>
      <c r="AK8" s="2548" t="s">
        <v>28</v>
      </c>
      <c r="AL8" s="2342" t="s">
        <v>67</v>
      </c>
      <c r="AM8" s="2402"/>
      <c r="AN8" s="2425">
        <v>1</v>
      </c>
      <c r="AO8" s="2561"/>
      <c r="AP8" s="2562" t="s">
        <v>67</v>
      </c>
      <c r="AQ8" s="249"/>
      <c r="AR8" s="1413">
        <v>1</v>
      </c>
      <c r="AS8" s="1419" t="s">
        <v>28</v>
      </c>
      <c r="AT8" s="688"/>
      <c r="AU8" s="1184"/>
      <c r="AV8" s="688"/>
      <c r="AW8" s="1184"/>
      <c r="AX8" s="1660"/>
      <c r="AY8" s="1396" t="s">
        <v>67</v>
      </c>
      <c r="AZ8" s="1660"/>
      <c r="BA8" s="1396" t="s">
        <v>67</v>
      </c>
      <c r="BB8" s="1275"/>
      <c r="BC8" s="2491" t="s">
        <v>510</v>
      </c>
      <c r="BE8" s="437"/>
      <c r="BF8" s="437" t="str">
        <f t="shared" si="0"/>
        <v/>
      </c>
      <c r="BG8" s="437"/>
      <c r="BH8" s="437"/>
      <c r="BI8" s="1082">
        <v>0</v>
      </c>
    </row>
    <row r="9" spans="1:61" ht="11.25" hidden="1" customHeight="1">
      <c r="A9" s="1290"/>
      <c r="B9" s="1290"/>
      <c r="C9" s="1290"/>
      <c r="D9" s="1290"/>
      <c r="E9" s="2469"/>
      <c r="F9" s="2469"/>
      <c r="G9" s="2469"/>
      <c r="H9" s="2469"/>
      <c r="I9" s="2471"/>
      <c r="J9" s="2471"/>
      <c r="K9" s="2470"/>
      <c r="L9" s="1291"/>
      <c r="P9" s="2472"/>
      <c r="Q9" s="2472"/>
      <c r="R9" s="2541"/>
      <c r="S9" s="2539"/>
      <c r="T9" s="2559"/>
      <c r="U9" s="238"/>
      <c r="V9" s="1320"/>
      <c r="W9" s="1423"/>
      <c r="X9" s="1320"/>
      <c r="Y9" s="1423"/>
      <c r="Z9" s="1320"/>
      <c r="AA9" s="1320"/>
      <c r="AB9" s="1320"/>
      <c r="AC9" s="1320"/>
      <c r="AD9" s="2393"/>
      <c r="AE9" s="2534"/>
      <c r="AF9" s="2425"/>
      <c r="AG9" s="2557"/>
      <c r="AH9" s="2342"/>
      <c r="AI9" s="2534"/>
      <c r="AJ9" s="2425"/>
      <c r="AK9" s="2548"/>
      <c r="AL9" s="2342"/>
      <c r="AM9" s="2407"/>
      <c r="AN9" s="2425"/>
      <c r="AO9" s="2561"/>
      <c r="AP9" s="2563"/>
      <c r="AQ9" s="254"/>
      <c r="AR9" s="353"/>
      <c r="AS9" s="353" t="s">
        <v>511</v>
      </c>
      <c r="AT9" s="1320"/>
      <c r="AU9" s="1423"/>
      <c r="AV9" s="1320"/>
      <c r="AW9" s="1423"/>
      <c r="AX9" s="1320"/>
      <c r="AY9" s="1320"/>
      <c r="AZ9" s="1320"/>
      <c r="BA9" s="1320"/>
      <c r="BB9" s="1324"/>
      <c r="BC9" s="2492"/>
      <c r="BE9" s="437"/>
      <c r="BF9" s="437"/>
      <c r="BG9" s="437"/>
      <c r="BH9" s="437"/>
      <c r="BI9" s="1082">
        <v>0</v>
      </c>
    </row>
    <row r="10" spans="1:61" ht="11.25" hidden="1" customHeight="1">
      <c r="A10" s="1290"/>
      <c r="B10" s="1290"/>
      <c r="C10" s="1290"/>
      <c r="D10" s="1290"/>
      <c r="E10" s="2469"/>
      <c r="F10" s="2469"/>
      <c r="G10" s="2469"/>
      <c r="H10" s="2469"/>
      <c r="I10" s="2471"/>
      <c r="J10" s="2471"/>
      <c r="K10" s="2470"/>
      <c r="L10" s="1291"/>
      <c r="P10" s="2472"/>
      <c r="Q10" s="2472"/>
      <c r="R10" s="2541"/>
      <c r="S10" s="2539"/>
      <c r="T10" s="2559"/>
      <c r="U10" s="238"/>
      <c r="V10" s="1320"/>
      <c r="W10" s="1423"/>
      <c r="X10" s="1320"/>
      <c r="Y10" s="1423"/>
      <c r="Z10" s="1320"/>
      <c r="AA10" s="1320"/>
      <c r="AB10" s="1320"/>
      <c r="AC10" s="1320"/>
      <c r="AD10" s="2393"/>
      <c r="AE10" s="2534"/>
      <c r="AF10" s="2425"/>
      <c r="AG10" s="2557"/>
      <c r="AH10" s="2342"/>
      <c r="AI10" s="2534"/>
      <c r="AJ10" s="2425"/>
      <c r="AK10" s="2548"/>
      <c r="AL10" s="2342"/>
      <c r="AM10" s="254"/>
      <c r="AN10" s="1427"/>
      <c r="AO10" s="1427" t="s">
        <v>531</v>
      </c>
      <c r="AP10" s="353"/>
      <c r="AQ10" s="353"/>
      <c r="AR10" s="353"/>
      <c r="AS10" s="1320"/>
      <c r="AT10" s="1320"/>
      <c r="AU10" s="1423"/>
      <c r="AV10" s="1320"/>
      <c r="AW10" s="1423"/>
      <c r="AX10" s="1320"/>
      <c r="AY10" s="1320"/>
      <c r="AZ10" s="1320"/>
      <c r="BA10" s="1320"/>
      <c r="BB10" s="1324"/>
      <c r="BC10" s="2492"/>
      <c r="BE10" s="437"/>
      <c r="BF10" s="437"/>
      <c r="BG10" s="437"/>
      <c r="BH10" s="437"/>
      <c r="BI10" s="1082">
        <v>0</v>
      </c>
    </row>
    <row r="11" spans="1:61" ht="11.25" hidden="1" customHeight="1">
      <c r="A11" s="1290"/>
      <c r="B11" s="1290"/>
      <c r="C11" s="1290"/>
      <c r="D11" s="1290"/>
      <c r="E11" s="2469"/>
      <c r="F11" s="2469"/>
      <c r="G11" s="2469"/>
      <c r="H11" s="2469"/>
      <c r="I11" s="2471"/>
      <c r="J11" s="2471"/>
      <c r="K11" s="2470"/>
      <c r="L11" s="1291"/>
      <c r="P11" s="2472"/>
      <c r="Q11" s="2472"/>
      <c r="R11" s="2541"/>
      <c r="S11" s="2539"/>
      <c r="T11" s="2559"/>
      <c r="U11" s="238"/>
      <c r="V11" s="1320"/>
      <c r="W11" s="1423"/>
      <c r="X11" s="1320"/>
      <c r="Y11" s="1423"/>
      <c r="Z11" s="1320"/>
      <c r="AA11" s="1320"/>
      <c r="AB11" s="1320"/>
      <c r="AC11" s="1320"/>
      <c r="AD11" s="2393"/>
      <c r="AE11" s="2534"/>
      <c r="AF11" s="2425"/>
      <c r="AG11" s="2557"/>
      <c r="AH11" s="2342"/>
      <c r="AI11" s="232"/>
      <c r="AJ11" s="352"/>
      <c r="AK11" s="251" t="s">
        <v>532</v>
      </c>
      <c r="AL11" s="1320"/>
      <c r="AM11" s="1320"/>
      <c r="AN11" s="1320"/>
      <c r="AO11" s="1320"/>
      <c r="AP11" s="1320"/>
      <c r="AQ11" s="1320"/>
      <c r="AR11" s="1320"/>
      <c r="AS11" s="1320"/>
      <c r="AT11" s="1320"/>
      <c r="AU11" s="1423"/>
      <c r="AV11" s="1320"/>
      <c r="AW11" s="1423"/>
      <c r="AX11" s="1320"/>
      <c r="AY11" s="1320"/>
      <c r="AZ11" s="1320"/>
      <c r="BA11" s="1320"/>
      <c r="BB11" s="1324"/>
      <c r="BC11" s="2492"/>
      <c r="BE11" s="437"/>
      <c r="BF11" s="437"/>
      <c r="BG11" s="437"/>
      <c r="BH11" s="437"/>
      <c r="BI11" s="1082">
        <v>0</v>
      </c>
    </row>
    <row r="12" spans="1:61" ht="11.25" hidden="1" customHeight="1">
      <c r="A12" s="1290"/>
      <c r="B12" s="1290"/>
      <c r="C12" s="1290"/>
      <c r="D12" s="1290"/>
      <c r="E12" s="2469"/>
      <c r="F12" s="2469"/>
      <c r="G12" s="2469"/>
      <c r="H12" s="2469"/>
      <c r="I12" s="2471"/>
      <c r="J12" s="2471"/>
      <c r="K12" s="2470"/>
      <c r="L12" s="1291"/>
      <c r="P12" s="2472"/>
      <c r="Q12" s="2472"/>
      <c r="R12" s="2541"/>
      <c r="S12" s="2540"/>
      <c r="T12" s="2560"/>
      <c r="U12" s="238"/>
      <c r="V12" s="1320"/>
      <c r="W12" s="1321" t="str">
        <f>Z8&amp;"-"&amp;AB8</f>
        <v>-</v>
      </c>
      <c r="X12" s="1320"/>
      <c r="Y12" s="1321" t="str">
        <f>AB8&amp;"-"&amp;AD8</f>
        <v>-да</v>
      </c>
      <c r="Z12" s="1320"/>
      <c r="AA12" s="1320"/>
      <c r="AB12" s="1320"/>
      <c r="AC12" s="1320"/>
      <c r="AD12" s="2347"/>
      <c r="AE12" s="250"/>
      <c r="AF12" s="252"/>
      <c r="AG12" s="353" t="s">
        <v>514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492"/>
      <c r="BE12" s="437"/>
      <c r="BF12" s="437" t="str">
        <f t="shared" ref="BF12:BF18" si="1">IF(T12="","",T12)</f>
        <v/>
      </c>
      <c r="BG12" s="437"/>
      <c r="BH12" s="437"/>
      <c r="BI12" s="1082">
        <v>0</v>
      </c>
    </row>
    <row r="13" spans="1:61" ht="11.25" hidden="1" customHeight="1">
      <c r="A13" s="1290"/>
      <c r="B13" s="1290"/>
      <c r="C13" s="1290"/>
      <c r="D13" s="1290"/>
      <c r="E13" s="2469"/>
      <c r="F13" s="2469"/>
      <c r="G13" s="2469"/>
      <c r="H13" s="2469"/>
      <c r="I13" s="2471"/>
      <c r="J13" s="2470"/>
      <c r="K13" s="1290"/>
      <c r="L13" s="1291"/>
      <c r="P13" s="2472"/>
      <c r="Q13" s="2472"/>
      <c r="R13" s="293"/>
      <c r="S13" s="1205"/>
      <c r="T13" s="225" t="s">
        <v>477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493"/>
      <c r="BE13" s="437"/>
      <c r="BF13" s="437" t="str">
        <f t="shared" si="1"/>
        <v>Добавить строку</v>
      </c>
      <c r="BG13" s="437"/>
      <c r="BH13" s="437"/>
      <c r="BI13" s="1082">
        <v>0</v>
      </c>
    </row>
    <row r="14" spans="1:61" s="1569" customFormat="1" ht="14.25" hidden="1" customHeight="1">
      <c r="A14" s="1270"/>
      <c r="B14" s="1270"/>
      <c r="C14" s="1270"/>
      <c r="D14" s="1270"/>
      <c r="E14" s="2469"/>
      <c r="F14" s="2469"/>
      <c r="G14" s="2469"/>
      <c r="H14" s="2469"/>
      <c r="I14" s="2470"/>
      <c r="J14" s="1270"/>
      <c r="K14" s="1270"/>
      <c r="L14" s="1273"/>
      <c r="M14" s="447"/>
      <c r="N14" s="447"/>
      <c r="O14" s="447"/>
      <c r="P14" s="2472"/>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469"/>
      <c r="F15" s="2469"/>
      <c r="G15" s="2469"/>
      <c r="H15" s="2468"/>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469"/>
      <c r="F16" s="2469"/>
      <c r="G16" s="2468"/>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469"/>
      <c r="F17" s="2468"/>
      <c r="G17" s="1241"/>
      <c r="H17" s="1241"/>
      <c r="I17" s="1241"/>
      <c r="J17" s="1241"/>
      <c r="K17" s="1241"/>
      <c r="L17" s="1421"/>
      <c r="M17" s="1248"/>
      <c r="N17" s="1248"/>
      <c r="P17" s="1243"/>
      <c r="Q17" s="1244"/>
      <c r="R17" s="1243"/>
      <c r="S17" s="1249"/>
      <c r="T17" s="1252" t="s">
        <v>170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468"/>
      <c r="F18" s="1270"/>
      <c r="G18" s="1270"/>
      <c r="H18" s="1270"/>
      <c r="I18" s="1270"/>
      <c r="J18" s="1270"/>
      <c r="K18" s="1270"/>
      <c r="L18" s="1273"/>
      <c r="M18" s="1248"/>
      <c r="N18" s="1248"/>
      <c r="O18" s="455"/>
      <c r="P18" s="317"/>
      <c r="Q18" s="1271"/>
      <c r="R18" s="317"/>
      <c r="S18" s="1249"/>
      <c r="T18" s="1252" t="s">
        <v>171</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67</v>
      </c>
      <c r="AZ20" s="1662"/>
      <c r="BA20" s="1412" t="s">
        <v>67</v>
      </c>
      <c r="BI20" s="1082">
        <v>0</v>
      </c>
    </row>
    <row r="21" spans="1:61" ht="14.25" hidden="1" customHeight="1">
      <c r="BD21" s="433"/>
      <c r="BE21" s="433"/>
      <c r="BF21" s="433"/>
      <c r="BG21" s="433"/>
      <c r="BH21" s="433"/>
      <c r="BI21" s="1082">
        <v>0</v>
      </c>
    </row>
    <row r="22" spans="1:61" ht="14.25" hidden="1" customHeight="1">
      <c r="O22" s="1294" t="s">
        <v>421</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422</v>
      </c>
      <c r="P24" s="1435"/>
      <c r="Q24" s="1437"/>
      <c r="R24" s="1437"/>
      <c r="AA24" s="1434" t="s">
        <v>424</v>
      </c>
      <c r="AC24" s="1434" t="s">
        <v>425</v>
      </c>
      <c r="AD24" s="1434" t="s">
        <v>478</v>
      </c>
      <c r="AH24" s="1434" t="s">
        <v>478</v>
      </c>
      <c r="AK24" s="1434" t="s">
        <v>515</v>
      </c>
      <c r="AL24" s="1434" t="s">
        <v>478</v>
      </c>
      <c r="AP24" s="1434" t="s">
        <v>478</v>
      </c>
      <c r="AY24" s="1434" t="s">
        <v>424</v>
      </c>
      <c r="BA24" s="1434" t="s">
        <v>425</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4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49"/>
      <c r="U28" s="2449"/>
      <c r="V28" s="2449"/>
      <c r="W28" s="2449"/>
      <c r="X28" s="2449"/>
      <c r="Y28" s="2449"/>
      <c r="Z28" s="2449"/>
      <c r="AA28" s="2449"/>
      <c r="AB28" s="2449"/>
      <c r="AC28" s="2449"/>
      <c r="AD28" s="2449"/>
      <c r="AE28" s="2449"/>
      <c r="AF28" s="2449"/>
      <c r="AG28" s="2449"/>
      <c r="AH28" s="2449"/>
      <c r="AI28" s="2449"/>
      <c r="AJ28" s="2449"/>
      <c r="AK28" s="2449"/>
      <c r="AL28" s="2449"/>
      <c r="AM28" s="2449"/>
      <c r="AN28" s="2449"/>
      <c r="AO28" s="2449"/>
      <c r="AP28" s="2449"/>
      <c r="AQ28" s="2449"/>
      <c r="AR28" s="2449"/>
      <c r="AS28" s="2449"/>
      <c r="AT28" s="2449"/>
      <c r="AU28" s="2449"/>
      <c r="AV28" s="2449"/>
      <c r="AW28" s="2449"/>
      <c r="AX28" s="2449"/>
      <c r="AY28" s="2449"/>
      <c r="AZ28" s="2449"/>
      <c r="BA28" s="1170"/>
      <c r="BI28" s="1082">
        <v>14</v>
      </c>
    </row>
    <row r="29" spans="1:61" ht="14.65" customHeight="1">
      <c r="Q29" s="229"/>
      <c r="R29" s="313"/>
      <c r="S29" s="2421" t="str">
        <f>IF(org=0,"Не определено",org)</f>
        <v>МУП "Городские тепловые сети" МО  "город Курчатов"</v>
      </c>
      <c r="T29" s="2421"/>
      <c r="U29" s="2421"/>
      <c r="V29" s="2421"/>
      <c r="W29" s="2421"/>
      <c r="X29" s="2421"/>
      <c r="Y29" s="2421"/>
      <c r="Z29" s="2421"/>
      <c r="AA29" s="2421"/>
      <c r="AB29" s="2421"/>
      <c r="AC29" s="2421"/>
      <c r="AD29" s="2421"/>
      <c r="AE29" s="2421"/>
      <c r="AF29" s="2421"/>
      <c r="AG29" s="2421"/>
      <c r="AH29" s="2421"/>
      <c r="AI29" s="2421"/>
      <c r="AJ29" s="2421"/>
      <c r="AK29" s="2421"/>
      <c r="AL29" s="2421"/>
      <c r="AM29" s="2421"/>
      <c r="AN29" s="2421"/>
      <c r="AO29" s="2421"/>
      <c r="AP29" s="2421"/>
      <c r="AQ29" s="2421"/>
      <c r="AR29" s="2421"/>
      <c r="AS29" s="2421"/>
      <c r="AT29" s="2421"/>
      <c r="AU29" s="2421"/>
      <c r="AV29" s="2421"/>
      <c r="AW29" s="2421"/>
      <c r="AX29" s="2421"/>
      <c r="AY29" s="2421"/>
      <c r="AZ29" s="2421"/>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459" t="s">
        <v>42</v>
      </c>
      <c r="T31" s="2459"/>
      <c r="U31" s="1299"/>
      <c r="V31" s="2461" t="str">
        <f>IF(TITLE_NAME_OR_PR_CHANGE="",IF(TITLE_NAME_OR_PR="","",TITLE_NAME_OR_PR),TITLE_NAME_OR_PR_CHANGE)</f>
        <v/>
      </c>
      <c r="W31" s="2461"/>
      <c r="X31" s="2461"/>
      <c r="Y31" s="2461"/>
      <c r="Z31" s="2461"/>
      <c r="AA31" s="2461"/>
      <c r="AB31" s="2461"/>
      <c r="AC31" s="264"/>
      <c r="AD31" s="2461" t="str">
        <f>IF(TITLE_NAME_OR_PR_CHANGE="",IF(TITLE_NAME_OR_PR="","",TITLE_NAME_OR_PR),TITLE_NAME_OR_PR_CHANGE)</f>
        <v/>
      </c>
      <c r="AE31" s="2461"/>
      <c r="AF31" s="2461"/>
      <c r="AG31" s="2461"/>
      <c r="AH31" s="2461"/>
      <c r="AI31" s="2461"/>
      <c r="AJ31" s="2461"/>
      <c r="AK31" s="2461"/>
      <c r="AL31" s="2461"/>
      <c r="AM31" s="2461"/>
      <c r="AN31" s="2461"/>
      <c r="AO31" s="2461"/>
      <c r="AP31" s="2461"/>
      <c r="AQ31" s="2461"/>
      <c r="AR31" s="2461"/>
      <c r="AS31" s="2461"/>
      <c r="AT31" s="2461"/>
      <c r="AU31" s="2461"/>
      <c r="AV31" s="2461"/>
      <c r="AW31" s="2461"/>
      <c r="AX31" s="2461"/>
      <c r="AY31" s="2461"/>
      <c r="AZ31" s="2461"/>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459" t="s">
        <v>427</v>
      </c>
      <c r="T32" s="2459"/>
      <c r="U32" s="1299"/>
      <c r="V32" s="2460">
        <f>IF(TITLE_DATE_PR_CHANGE="",IF(TITLE_DATE_PR="","",TITLE_DATE_PR),TITLE_DATE_PR_CHANGE)</f>
        <v>45775</v>
      </c>
      <c r="W32" s="2460"/>
      <c r="X32" s="2460"/>
      <c r="Y32" s="2460"/>
      <c r="Z32" s="2460"/>
      <c r="AA32" s="2460"/>
      <c r="AB32" s="2460"/>
      <c r="AC32" s="264"/>
      <c r="AD32" s="2460">
        <f>IF(TITLE_DATE_PR_CHANGE="",IF(TITLE_DATE_PR="","",TITLE_DATE_PR),TITLE_DATE_PR_CHANGE)</f>
        <v>45775</v>
      </c>
      <c r="AE32" s="2460"/>
      <c r="AF32" s="2460"/>
      <c r="AG32" s="2460"/>
      <c r="AH32" s="2460"/>
      <c r="AI32" s="2460"/>
      <c r="AJ32" s="2460"/>
      <c r="AK32" s="2460"/>
      <c r="AL32" s="2460"/>
      <c r="AM32" s="2460"/>
      <c r="AN32" s="2460"/>
      <c r="AO32" s="2460"/>
      <c r="AP32" s="2460"/>
      <c r="AQ32" s="2460"/>
      <c r="AR32" s="2460"/>
      <c r="AS32" s="2460"/>
      <c r="AT32" s="2460"/>
      <c r="AU32" s="2460"/>
      <c r="AV32" s="2460"/>
      <c r="AW32" s="2460"/>
      <c r="AX32" s="2460"/>
      <c r="AY32" s="2460"/>
      <c r="AZ32" s="2460"/>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459" t="s">
        <v>428</v>
      </c>
      <c r="T33" s="2459"/>
      <c r="U33" s="1299"/>
      <c r="V33" s="2461" t="str">
        <f>IF(TITLE_NUMBER_PR_CHANGE="",IF(TITLE_NUMBER_PR="","",TITLE_NUMBER_PR),TITLE_NUMBER_PR_CHANGE)</f>
        <v>03.5-1382</v>
      </c>
      <c r="W33" s="2461"/>
      <c r="X33" s="2461"/>
      <c r="Y33" s="2461"/>
      <c r="Z33" s="2461"/>
      <c r="AA33" s="2461"/>
      <c r="AB33" s="2461"/>
      <c r="AC33" s="264"/>
      <c r="AD33" s="2461" t="str">
        <f>IF(TITLE_NUMBER_PR_CHANGE="",IF(TITLE_NUMBER_PR="","",TITLE_NUMBER_PR),TITLE_NUMBER_PR_CHANGE)</f>
        <v>03.5-1382</v>
      </c>
      <c r="AE33" s="2461"/>
      <c r="AF33" s="2461"/>
      <c r="AG33" s="2461"/>
      <c r="AH33" s="2461"/>
      <c r="AI33" s="2461"/>
      <c r="AJ33" s="2461"/>
      <c r="AK33" s="2461"/>
      <c r="AL33" s="2461"/>
      <c r="AM33" s="2461"/>
      <c r="AN33" s="2461"/>
      <c r="AO33" s="2461"/>
      <c r="AP33" s="2461"/>
      <c r="AQ33" s="2461"/>
      <c r="AR33" s="2461"/>
      <c r="AS33" s="2461"/>
      <c r="AT33" s="2461"/>
      <c r="AU33" s="2461"/>
      <c r="AV33" s="2461"/>
      <c r="AW33" s="2461"/>
      <c r="AX33" s="2461"/>
      <c r="AY33" s="2461"/>
      <c r="AZ33" s="2461"/>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459" t="s">
        <v>43</v>
      </c>
      <c r="T34" s="2459"/>
      <c r="U34" s="1299"/>
      <c r="V34" s="2461" t="str">
        <f>IF(TITLE_IST_PUB_CHANGE="",IF(TITLE_IST_PUB="","",TITLE_IST_PUB),TITLE_IST_PUB_CHANGE)</f>
        <v/>
      </c>
      <c r="W34" s="2461"/>
      <c r="X34" s="2461"/>
      <c r="Y34" s="2461"/>
      <c r="Z34" s="2461"/>
      <c r="AA34" s="2461"/>
      <c r="AB34" s="2461"/>
      <c r="AC34" s="264"/>
      <c r="AD34" s="2461" t="str">
        <f>IF(TITLE_IST_PUB_CHANGE="",IF(TITLE_IST_PUB="","",TITLE_IST_PUB),TITLE_IST_PUB_CHANGE)</f>
        <v/>
      </c>
      <c r="AE34" s="2461"/>
      <c r="AF34" s="2461"/>
      <c r="AG34" s="2461"/>
      <c r="AH34" s="2461"/>
      <c r="AI34" s="2461"/>
      <c r="AJ34" s="2461"/>
      <c r="AK34" s="2461"/>
      <c r="AL34" s="2461"/>
      <c r="AM34" s="2461"/>
      <c r="AN34" s="2461"/>
      <c r="AO34" s="2461"/>
      <c r="AP34" s="2461"/>
      <c r="AQ34" s="2461"/>
      <c r="AR34" s="2461"/>
      <c r="AS34" s="2461"/>
      <c r="AT34" s="2461"/>
      <c r="AU34" s="2461"/>
      <c r="AV34" s="2461"/>
      <c r="AW34" s="2461"/>
      <c r="AX34" s="2461"/>
      <c r="AY34" s="2461"/>
      <c r="AZ34" s="2461"/>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459" t="s">
        <v>427</v>
      </c>
      <c r="T36" s="2459"/>
      <c r="U36" s="1299"/>
      <c r="V36" s="2460">
        <f>IF(TITLE_DATE_PR_CHANGE="",IF(TITLE_DATE_PR="","",TITLE_DATE_PR),TITLE_DATE_PR_CHANGE)</f>
        <v>45775</v>
      </c>
      <c r="W36" s="2460"/>
      <c r="X36" s="2460"/>
      <c r="Y36" s="2460"/>
      <c r="Z36" s="2460"/>
      <c r="AA36" s="2460"/>
      <c r="AB36" s="2460"/>
      <c r="AC36" s="264"/>
      <c r="AD36" s="2460">
        <f>IF(TITLE_DATE_PR_CHANGE="",IF(TITLE_DATE_PR="","",TITLE_DATE_PR),TITLE_DATE_PR_CHANGE)</f>
        <v>45775</v>
      </c>
      <c r="AE36" s="2460"/>
      <c r="AF36" s="2460"/>
      <c r="AG36" s="2460"/>
      <c r="AH36" s="2460"/>
      <c r="AI36" s="2460"/>
      <c r="AJ36" s="2460"/>
      <c r="AK36" s="2460"/>
      <c r="AL36" s="2460"/>
      <c r="AM36" s="2460"/>
      <c r="AN36" s="2460"/>
      <c r="AO36" s="2460"/>
      <c r="AP36" s="2460"/>
      <c r="AQ36" s="2460"/>
      <c r="AR36" s="2460"/>
      <c r="AS36" s="2460"/>
      <c r="AT36" s="2460"/>
      <c r="AU36" s="2460"/>
      <c r="AV36" s="2460"/>
      <c r="AW36" s="2460"/>
      <c r="AX36" s="2460"/>
      <c r="AY36" s="2460"/>
      <c r="AZ36" s="2460"/>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459" t="s">
        <v>428</v>
      </c>
      <c r="T37" s="2459"/>
      <c r="U37" s="1299"/>
      <c r="V37" s="2461" t="str">
        <f>IF(TITLE_NUMBER_PR_CHANGE="",IF(TITLE_NUMBER_PR="","",TITLE_NUMBER_PR),TITLE_NUMBER_PR_CHANGE)</f>
        <v>03.5-1382</v>
      </c>
      <c r="W37" s="2461"/>
      <c r="X37" s="2461"/>
      <c r="Y37" s="2461"/>
      <c r="Z37" s="2461"/>
      <c r="AA37" s="2461"/>
      <c r="AB37" s="2461"/>
      <c r="AC37" s="264"/>
      <c r="AD37" s="2461" t="str">
        <f>IF(TITLE_NUMBER_PR_CHANGE="",IF(TITLE_NUMBER_PR="","",TITLE_NUMBER_PR),TITLE_NUMBER_PR_CHANGE)</f>
        <v>03.5-1382</v>
      </c>
      <c r="AE37" s="2461"/>
      <c r="AF37" s="2461"/>
      <c r="AG37" s="2461"/>
      <c r="AH37" s="2461"/>
      <c r="AI37" s="2461"/>
      <c r="AJ37" s="2461"/>
      <c r="AK37" s="2461"/>
      <c r="AL37" s="2461"/>
      <c r="AM37" s="2461"/>
      <c r="AN37" s="2461"/>
      <c r="AO37" s="2461"/>
      <c r="AP37" s="2461"/>
      <c r="AQ37" s="2461"/>
      <c r="AR37" s="2461"/>
      <c r="AS37" s="2461"/>
      <c r="AT37" s="2461"/>
      <c r="AU37" s="2461"/>
      <c r="AV37" s="2461"/>
      <c r="AW37" s="2461"/>
      <c r="AX37" s="2461"/>
      <c r="AY37" s="2461"/>
      <c r="AZ37" s="2461"/>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431</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431</v>
      </c>
      <c r="BD38" s="305"/>
      <c r="BE38" s="305"/>
      <c r="BF38" s="305"/>
      <c r="BG38" s="305"/>
      <c r="BH38" s="305"/>
      <c r="BI38" s="355">
        <v>0</v>
      </c>
    </row>
    <row r="39" spans="1:61" ht="14.65" customHeight="1">
      <c r="Q39" s="229"/>
      <c r="R39" s="313"/>
      <c r="S39" s="1202"/>
      <c r="T39" s="300"/>
      <c r="U39" s="1171"/>
      <c r="V39" s="2480"/>
      <c r="W39" s="2480"/>
      <c r="X39" s="2480"/>
      <c r="Y39" s="2480"/>
      <c r="Z39" s="2480"/>
      <c r="AA39" s="2480"/>
      <c r="AB39" s="2480"/>
      <c r="AC39" s="2480"/>
      <c r="AD39" s="2480"/>
      <c r="AE39" s="2480"/>
      <c r="AF39" s="2480"/>
      <c r="AG39" s="2480"/>
      <c r="AH39" s="2480"/>
      <c r="AI39" s="2480"/>
      <c r="AJ39" s="2480"/>
      <c r="AK39" s="2480"/>
      <c r="AL39" s="2480"/>
      <c r="AM39" s="2480"/>
      <c r="AN39" s="2480"/>
      <c r="AO39" s="2480"/>
      <c r="AP39" s="2480"/>
      <c r="AQ39" s="2480"/>
      <c r="AR39" s="2480"/>
      <c r="AS39" s="2480"/>
      <c r="AT39" s="2480"/>
      <c r="AU39" s="2480"/>
      <c r="AV39" s="2480"/>
      <c r="AW39" s="2480"/>
      <c r="AX39" s="2480"/>
      <c r="AY39" s="2480"/>
      <c r="AZ39" s="2480"/>
      <c r="BA39" s="2480"/>
      <c r="BI39" s="1082">
        <v>14</v>
      </c>
    </row>
    <row r="40" spans="1:61" ht="14.65" customHeight="1">
      <c r="Q40" s="229"/>
      <c r="R40" s="313"/>
      <c r="S40" s="2332" t="s">
        <v>307</v>
      </c>
      <c r="T40" s="2332"/>
      <c r="U40" s="2332"/>
      <c r="V40" s="2332"/>
      <c r="W40" s="2332"/>
      <c r="X40" s="2332"/>
      <c r="Y40" s="2332"/>
      <c r="Z40" s="2332"/>
      <c r="AA40" s="2332"/>
      <c r="AB40" s="2332"/>
      <c r="AC40" s="2332"/>
      <c r="AD40" s="2332"/>
      <c r="AE40" s="2332"/>
      <c r="AF40" s="2332"/>
      <c r="AG40" s="2332"/>
      <c r="AH40" s="2332"/>
      <c r="AI40" s="2332"/>
      <c r="AJ40" s="2332"/>
      <c r="AK40" s="2332"/>
      <c r="AL40" s="2332"/>
      <c r="AM40" s="2332"/>
      <c r="AN40" s="2332"/>
      <c r="AO40" s="2332"/>
      <c r="AP40" s="2332"/>
      <c r="AQ40" s="2332"/>
      <c r="AR40" s="2332"/>
      <c r="AS40" s="2332"/>
      <c r="AT40" s="2332"/>
      <c r="AU40" s="2332"/>
      <c r="AV40" s="2332"/>
      <c r="AW40" s="2332"/>
      <c r="AX40" s="2332"/>
      <c r="AY40" s="2332"/>
      <c r="AZ40" s="2332"/>
      <c r="BA40" s="2332"/>
      <c r="BB40" s="2332"/>
      <c r="BC40" s="2332" t="s">
        <v>308</v>
      </c>
      <c r="BI40" s="1082">
        <v>14</v>
      </c>
    </row>
    <row r="41" spans="1:61" ht="14.65" customHeight="1">
      <c r="Q41" s="229"/>
      <c r="R41" s="313"/>
      <c r="S41" s="2481" t="s">
        <v>89</v>
      </c>
      <c r="T41" s="2429" t="s">
        <v>516</v>
      </c>
      <c r="U41" s="239"/>
      <c r="V41" s="2482" t="s">
        <v>433</v>
      </c>
      <c r="W41" s="2483"/>
      <c r="X41" s="2483"/>
      <c r="Y41" s="2483"/>
      <c r="Z41" s="2483"/>
      <c r="AA41" s="2483"/>
      <c r="AB41" s="2484"/>
      <c r="AC41" s="2485" t="s">
        <v>434</v>
      </c>
      <c r="AD41" s="2527" t="s">
        <v>533</v>
      </c>
      <c r="AE41" s="2508"/>
      <c r="AF41" s="2508"/>
      <c r="AG41" s="2528"/>
      <c r="AH41" s="2527" t="s">
        <v>534</v>
      </c>
      <c r="AI41" s="2508"/>
      <c r="AJ41" s="2508"/>
      <c r="AK41" s="2528"/>
      <c r="AL41" s="2527" t="s">
        <v>535</v>
      </c>
      <c r="AM41" s="2508"/>
      <c r="AN41" s="2508"/>
      <c r="AO41" s="2528"/>
      <c r="AP41" s="2527" t="s">
        <v>520</v>
      </c>
      <c r="AQ41" s="2508"/>
      <c r="AR41" s="2508"/>
      <c r="AS41" s="2528"/>
      <c r="AT41" s="2482" t="s">
        <v>433</v>
      </c>
      <c r="AU41" s="2483"/>
      <c r="AV41" s="2483"/>
      <c r="AW41" s="2483"/>
      <c r="AX41" s="2483"/>
      <c r="AY41" s="2483"/>
      <c r="AZ41" s="2484"/>
      <c r="BA41" s="2485" t="s">
        <v>434</v>
      </c>
      <c r="BB41" s="2488" t="s">
        <v>436</v>
      </c>
      <c r="BC41" s="2332"/>
      <c r="BI41" s="1082">
        <v>14</v>
      </c>
    </row>
    <row r="42" spans="1:61" ht="35.65" customHeight="1">
      <c r="Q42" s="229"/>
      <c r="R42" s="313"/>
      <c r="S42" s="2481"/>
      <c r="T42" s="2429"/>
      <c r="U42" s="961"/>
      <c r="V42" s="2402" t="s">
        <v>521</v>
      </c>
      <c r="W42" s="2403"/>
      <c r="X42" s="2402" t="s">
        <v>522</v>
      </c>
      <c r="Y42" s="2403"/>
      <c r="Z42" s="2402" t="s">
        <v>523</v>
      </c>
      <c r="AA42" s="2520"/>
      <c r="AB42" s="2403"/>
      <c r="AC42" s="2486"/>
      <c r="AD42" s="2529"/>
      <c r="AE42" s="2530"/>
      <c r="AF42" s="2530"/>
      <c r="AG42" s="2542"/>
      <c r="AH42" s="2529"/>
      <c r="AI42" s="2530"/>
      <c r="AJ42" s="2530"/>
      <c r="AK42" s="2542"/>
      <c r="AL42" s="2529"/>
      <c r="AM42" s="2530"/>
      <c r="AN42" s="2530"/>
      <c r="AO42" s="2542"/>
      <c r="AP42" s="2529"/>
      <c r="AQ42" s="2530"/>
      <c r="AR42" s="2530"/>
      <c r="AS42" s="2542"/>
      <c r="AT42" s="2402" t="s">
        <v>536</v>
      </c>
      <c r="AU42" s="2403"/>
      <c r="AV42" s="2402" t="s">
        <v>537</v>
      </c>
      <c r="AW42" s="2403"/>
      <c r="AX42" s="2402" t="s">
        <v>523</v>
      </c>
      <c r="AY42" s="2520"/>
      <c r="AZ42" s="2403"/>
      <c r="BA42" s="2486"/>
      <c r="BB42" s="2489"/>
      <c r="BC42" s="2332"/>
      <c r="BI42" s="1082">
        <v>34</v>
      </c>
    </row>
    <row r="43" spans="1:61" ht="14.65" customHeight="1">
      <c r="Q43" s="229"/>
      <c r="R43" s="313"/>
      <c r="S43" s="2481"/>
      <c r="T43" s="2429"/>
      <c r="U43" s="961"/>
      <c r="V43" s="2407"/>
      <c r="W43" s="2408"/>
      <c r="X43" s="2407"/>
      <c r="Y43" s="2408"/>
      <c r="Z43" s="2407"/>
      <c r="AA43" s="2521"/>
      <c r="AB43" s="2408"/>
      <c r="AC43" s="2486"/>
      <c r="AD43" s="2529"/>
      <c r="AE43" s="2530"/>
      <c r="AF43" s="2530"/>
      <c r="AG43" s="2542"/>
      <c r="AH43" s="2529"/>
      <c r="AI43" s="2530"/>
      <c r="AJ43" s="2530"/>
      <c r="AK43" s="2542"/>
      <c r="AL43" s="2529"/>
      <c r="AM43" s="2530"/>
      <c r="AN43" s="2530"/>
      <c r="AO43" s="2542"/>
      <c r="AP43" s="2529"/>
      <c r="AQ43" s="2530"/>
      <c r="AR43" s="2530"/>
      <c r="AS43" s="2542"/>
      <c r="AT43" s="2407"/>
      <c r="AU43" s="2408"/>
      <c r="AV43" s="2407"/>
      <c r="AW43" s="2408"/>
      <c r="AX43" s="2407"/>
      <c r="AY43" s="2521"/>
      <c r="AZ43" s="2408"/>
      <c r="BA43" s="2486"/>
      <c r="BB43" s="2489"/>
      <c r="BC43" s="2332"/>
      <c r="BI43" s="1082">
        <v>14</v>
      </c>
    </row>
    <row r="44" spans="1:61" ht="14.65" customHeight="1">
      <c r="A44" s="1297"/>
      <c r="B44" s="1297" t="s">
        <v>136</v>
      </c>
      <c r="C44" s="1297" t="s">
        <v>137</v>
      </c>
      <c r="D44" s="1297" t="s">
        <v>138</v>
      </c>
      <c r="E44" s="1291" t="s">
        <v>441</v>
      </c>
      <c r="F44" s="1291" t="s">
        <v>442</v>
      </c>
      <c r="G44" s="1291" t="s">
        <v>443</v>
      </c>
      <c r="H44" s="1291" t="s">
        <v>444</v>
      </c>
      <c r="I44" s="1291" t="s">
        <v>445</v>
      </c>
      <c r="J44" s="1291" t="s">
        <v>446</v>
      </c>
      <c r="K44" s="1291" t="s">
        <v>447</v>
      </c>
      <c r="L44" s="1291" t="s">
        <v>422</v>
      </c>
      <c r="Q44" s="229"/>
      <c r="R44" s="313"/>
      <c r="S44" s="2481"/>
      <c r="T44" s="2429"/>
      <c r="U44" s="240"/>
      <c r="V44" s="1406" t="s">
        <v>487</v>
      </c>
      <c r="W44" s="1406" t="s">
        <v>488</v>
      </c>
      <c r="X44" s="1406" t="s">
        <v>487</v>
      </c>
      <c r="Y44" s="1406" t="s">
        <v>488</v>
      </c>
      <c r="Z44" s="1416" t="s">
        <v>450</v>
      </c>
      <c r="AA44" s="2434" t="s">
        <v>451</v>
      </c>
      <c r="AB44" s="2448"/>
      <c r="AC44" s="2487"/>
      <c r="AD44" s="2531"/>
      <c r="AE44" s="2532"/>
      <c r="AF44" s="2532"/>
      <c r="AG44" s="2533"/>
      <c r="AH44" s="2531"/>
      <c r="AI44" s="2532"/>
      <c r="AJ44" s="2532"/>
      <c r="AK44" s="2533"/>
      <c r="AL44" s="2531"/>
      <c r="AM44" s="2532"/>
      <c r="AN44" s="2532"/>
      <c r="AO44" s="2533"/>
      <c r="AP44" s="2531"/>
      <c r="AQ44" s="2532"/>
      <c r="AR44" s="2532"/>
      <c r="AS44" s="2533"/>
      <c r="AT44" s="1406" t="s">
        <v>487</v>
      </c>
      <c r="AU44" s="1406" t="s">
        <v>488</v>
      </c>
      <c r="AV44" s="1406" t="s">
        <v>487</v>
      </c>
      <c r="AW44" s="1406" t="s">
        <v>488</v>
      </c>
      <c r="AX44" s="1416" t="s">
        <v>450</v>
      </c>
      <c r="AY44" s="2434" t="s">
        <v>451</v>
      </c>
      <c r="AZ44" s="2448"/>
      <c r="BA44" s="2487"/>
      <c r="BB44" s="2490"/>
      <c r="BC44" s="2332"/>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409">
        <f t="shared" ref="V45:AA45" ca="1" si="2">OFFSET(V45,0,-1)+1</f>
        <v>3</v>
      </c>
      <c r="W45" s="1409">
        <f t="shared" ca="1" si="2"/>
        <v>4</v>
      </c>
      <c r="X45" s="1409">
        <f t="shared" ca="1" si="2"/>
        <v>5</v>
      </c>
      <c r="Y45" s="1409">
        <f t="shared" ca="1" si="2"/>
        <v>6</v>
      </c>
      <c r="Z45" s="1409">
        <f t="shared" ca="1" si="2"/>
        <v>7</v>
      </c>
      <c r="AA45" s="2479">
        <f t="shared" ca="1" si="2"/>
        <v>8</v>
      </c>
      <c r="AB45" s="2479"/>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479">
        <f ca="1">OFFSET(AY45,0,-1)+1</f>
        <v>3</v>
      </c>
      <c r="AZ45" s="2479"/>
      <c r="BA45" s="1409">
        <f ca="1">OFFSET(BA45,0,-2)+1</f>
        <v>4</v>
      </c>
      <c r="BB45" s="1172">
        <f ca="1">OFFSET(BB45,0,-1)</f>
        <v>4</v>
      </c>
      <c r="BC45" s="1409">
        <f ca="1">OFFSET(BC45,0,-1)+1</f>
        <v>5</v>
      </c>
      <c r="BD45" s="448"/>
      <c r="BE45" s="448"/>
      <c r="BF45" s="448"/>
      <c r="BG45" s="448"/>
      <c r="BH45" s="448"/>
      <c r="BI45" s="433">
        <v>0</v>
      </c>
    </row>
    <row r="46" spans="1:61" ht="21.95" customHeight="1">
      <c r="A46" s="1290" t="s">
        <v>283</v>
      </c>
      <c r="B46" s="1290"/>
      <c r="C46" s="1290"/>
      <c r="D46" s="1290"/>
      <c r="E46" s="2468">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124</v>
      </c>
      <c r="U46" s="238"/>
      <c r="V46" s="2463"/>
      <c r="W46" s="2463"/>
      <c r="X46" s="2463"/>
      <c r="Y46" s="2463"/>
      <c r="Z46" s="2463"/>
      <c r="AA46" s="2463"/>
      <c r="AB46" s="2463"/>
      <c r="AC46" s="2464"/>
      <c r="AD46" s="2462" t="str">
        <f>INDEX(PT_DIFFERENTIATION_NTAR,MATCH(A46,PT_DIFFERENTIATION_NTAR_ID,0))</f>
        <v/>
      </c>
      <c r="AE46" s="2463"/>
      <c r="AF46" s="2463"/>
      <c r="AG46" s="2463"/>
      <c r="AH46" s="2463"/>
      <c r="AI46" s="2463"/>
      <c r="AJ46" s="2463"/>
      <c r="AK46" s="2463"/>
      <c r="AL46" s="2463"/>
      <c r="AM46" s="2463"/>
      <c r="AN46" s="2463"/>
      <c r="AO46" s="2463"/>
      <c r="AP46" s="2463"/>
      <c r="AQ46" s="2463"/>
      <c r="AR46" s="2463"/>
      <c r="AS46" s="2463"/>
      <c r="AT46" s="2463"/>
      <c r="AU46" s="2463"/>
      <c r="AV46" s="2463"/>
      <c r="AW46" s="2463"/>
      <c r="AX46" s="2463"/>
      <c r="AY46" s="2463"/>
      <c r="AZ46" s="2463"/>
      <c r="BA46" s="2463"/>
      <c r="BB46" s="2464"/>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283</v>
      </c>
      <c r="B47" s="1290" t="s">
        <v>284</v>
      </c>
      <c r="C47" s="1290"/>
      <c r="D47" s="1290"/>
      <c r="E47" s="2469"/>
      <c r="F47" s="2468">
        <v>1</v>
      </c>
      <c r="G47" s="1290"/>
      <c r="H47" s="1290"/>
      <c r="I47" s="1290"/>
      <c r="J47" s="1290"/>
      <c r="K47" s="1290"/>
      <c r="L47" s="1291"/>
      <c r="M47" s="1292"/>
      <c r="N47" s="1292"/>
      <c r="O47" s="1292"/>
      <c r="P47" s="1337"/>
      <c r="Q47" s="1338"/>
      <c r="R47" s="290"/>
      <c r="S47" s="1420" t="str">
        <f>INDEX(PT_DIFFERENTIATION_NUM_TER,MATCH(B47,PT_DIFFERENTIATION_TER_ID,0))</f>
        <v>.</v>
      </c>
      <c r="T47" s="246" t="s">
        <v>404</v>
      </c>
      <c r="U47" s="238"/>
      <c r="V47" s="2463"/>
      <c r="W47" s="2463"/>
      <c r="X47" s="2463"/>
      <c r="Y47" s="2463"/>
      <c r="Z47" s="2463"/>
      <c r="AA47" s="2463"/>
      <c r="AB47" s="2463"/>
      <c r="AC47" s="2464"/>
      <c r="AD47" s="2462" t="str">
        <f>INDEX(PT_DIFFERENTIATION_TER,MATCH(B47,PT_DIFFERENTIATION_TER_ID,0))</f>
        <v/>
      </c>
      <c r="AE47" s="2463"/>
      <c r="AF47" s="2463"/>
      <c r="AG47" s="2463"/>
      <c r="AH47" s="2463"/>
      <c r="AI47" s="2463"/>
      <c r="AJ47" s="2463"/>
      <c r="AK47" s="2463"/>
      <c r="AL47" s="2463"/>
      <c r="AM47" s="2463"/>
      <c r="AN47" s="2463"/>
      <c r="AO47" s="2463"/>
      <c r="AP47" s="2463"/>
      <c r="AQ47" s="2463"/>
      <c r="AR47" s="2463"/>
      <c r="AS47" s="2463"/>
      <c r="AT47" s="2463"/>
      <c r="AU47" s="2463"/>
      <c r="AV47" s="2463"/>
      <c r="AW47" s="2463"/>
      <c r="AX47" s="2463"/>
      <c r="AY47" s="2463"/>
      <c r="AZ47" s="2463"/>
      <c r="BA47" s="2463"/>
      <c r="BB47" s="2464"/>
      <c r="BC47" s="1185" t="s">
        <v>405</v>
      </c>
      <c r="BE47" s="437"/>
      <c r="BF47" s="437" t="str">
        <f t="shared" si="3"/>
        <v>Территория действия тарифа</v>
      </c>
      <c r="BG47" s="437"/>
      <c r="BH47" s="437"/>
      <c r="BI47" s="1082">
        <v>21</v>
      </c>
    </row>
    <row r="48" spans="1:61" ht="35.65" customHeight="1">
      <c r="A48" s="1290" t="s">
        <v>283</v>
      </c>
      <c r="B48" s="1290" t="s">
        <v>284</v>
      </c>
      <c r="C48" s="1290" t="s">
        <v>285</v>
      </c>
      <c r="D48" s="1290"/>
      <c r="E48" s="2469"/>
      <c r="F48" s="2469"/>
      <c r="G48" s="2468">
        <v>1</v>
      </c>
      <c r="H48" s="1290"/>
      <c r="I48" s="1290"/>
      <c r="J48" s="1290"/>
      <c r="K48" s="1290"/>
      <c r="L48" s="1291"/>
      <c r="M48" s="1292"/>
      <c r="N48" s="1292"/>
      <c r="O48" s="1292"/>
      <c r="P48" s="1339"/>
      <c r="Q48" s="1338"/>
      <c r="R48" s="290"/>
      <c r="S48" s="1420" t="str">
        <f>INDEX(PT_DIFFERENTIATION_NUM_CS,MATCH(C48,PT_DIFFERENTIATION_CS_ID,0))</f>
        <v>..</v>
      </c>
      <c r="T48" s="247" t="s">
        <v>525</v>
      </c>
      <c r="U48" s="238"/>
      <c r="V48" s="2463"/>
      <c r="W48" s="2463"/>
      <c r="X48" s="2463"/>
      <c r="Y48" s="2463"/>
      <c r="Z48" s="2463"/>
      <c r="AA48" s="2463"/>
      <c r="AB48" s="2463"/>
      <c r="AC48" s="2464"/>
      <c r="AD48" s="2462" t="str">
        <f>INDEX(PT_DIFFERENTIATION_CS,MATCH(C48,PT_DIFFERENTIATION_CS_ID,0))</f>
        <v/>
      </c>
      <c r="AE48" s="2463"/>
      <c r="AF48" s="2463"/>
      <c r="AG48" s="2463"/>
      <c r="AH48" s="2463"/>
      <c r="AI48" s="2463"/>
      <c r="AJ48" s="2463"/>
      <c r="AK48" s="2463"/>
      <c r="AL48" s="2463"/>
      <c r="AM48" s="2463"/>
      <c r="AN48" s="2463"/>
      <c r="AO48" s="2463"/>
      <c r="AP48" s="2463"/>
      <c r="AQ48" s="2463"/>
      <c r="AR48" s="2463"/>
      <c r="AS48" s="2463"/>
      <c r="AT48" s="2463"/>
      <c r="AU48" s="2463"/>
      <c r="AV48" s="2463"/>
      <c r="AW48" s="2463"/>
      <c r="AX48" s="2463"/>
      <c r="AY48" s="2463"/>
      <c r="AZ48" s="2463"/>
      <c r="BA48" s="2463"/>
      <c r="BB48" s="2464"/>
      <c r="BC48" s="1185" t="s">
        <v>526</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283</v>
      </c>
      <c r="B49" s="1270" t="s">
        <v>284</v>
      </c>
      <c r="C49" s="1270" t="s">
        <v>285</v>
      </c>
      <c r="D49" s="1270" t="s">
        <v>538</v>
      </c>
      <c r="E49" s="2469"/>
      <c r="F49" s="2469"/>
      <c r="G49" s="2469"/>
      <c r="H49" s="2468">
        <v>1</v>
      </c>
      <c r="I49" s="1270"/>
      <c r="J49" s="1270"/>
      <c r="K49" s="1270"/>
      <c r="L49" s="1273"/>
      <c r="M49" s="1242"/>
      <c r="N49" s="1242"/>
      <c r="O49" s="1242"/>
      <c r="P49" s="1424"/>
      <c r="Q49" s="1425"/>
      <c r="R49" s="294"/>
      <c r="S49" s="972"/>
      <c r="T49" s="1426"/>
      <c r="U49" s="1311"/>
      <c r="V49" s="2510"/>
      <c r="W49" s="2510"/>
      <c r="X49" s="2510"/>
      <c r="Y49" s="2510"/>
      <c r="Z49" s="2510"/>
      <c r="AA49" s="2510"/>
      <c r="AB49" s="2510"/>
      <c r="AC49" s="2511"/>
      <c r="AD49" s="2509"/>
      <c r="AE49" s="2510"/>
      <c r="AF49" s="2510"/>
      <c r="AG49" s="2510"/>
      <c r="AH49" s="2510"/>
      <c r="AI49" s="2510"/>
      <c r="AJ49" s="2510"/>
      <c r="AK49" s="2510"/>
      <c r="AL49" s="2510"/>
      <c r="AM49" s="2510"/>
      <c r="AN49" s="2510"/>
      <c r="AO49" s="2510"/>
      <c r="AP49" s="2510"/>
      <c r="AQ49" s="2510"/>
      <c r="AR49" s="2510"/>
      <c r="AS49" s="2510"/>
      <c r="AT49" s="2510"/>
      <c r="AU49" s="2510"/>
      <c r="AV49" s="2510"/>
      <c r="AW49" s="2510"/>
      <c r="AX49" s="2510"/>
      <c r="AY49" s="2510"/>
      <c r="AZ49" s="2510"/>
      <c r="BA49" s="2510"/>
      <c r="BB49" s="2511"/>
      <c r="BC49" s="1312" t="s">
        <v>409</v>
      </c>
      <c r="BE49" s="437"/>
      <c r="BF49" s="437" t="str">
        <f t="shared" si="3"/>
        <v/>
      </c>
      <c r="BG49" s="437"/>
      <c r="BH49" s="437"/>
      <c r="BI49" s="448">
        <v>0</v>
      </c>
    </row>
    <row r="50" spans="1:61" s="1569" customFormat="1" ht="0" hidden="1" customHeight="1">
      <c r="A50" s="1270" t="s">
        <v>283</v>
      </c>
      <c r="B50" s="1270" t="s">
        <v>284</v>
      </c>
      <c r="C50" s="1270" t="s">
        <v>285</v>
      </c>
      <c r="D50" s="1270" t="s">
        <v>538</v>
      </c>
      <c r="E50" s="2469"/>
      <c r="F50" s="2469"/>
      <c r="G50" s="2469"/>
      <c r="H50" s="2469"/>
      <c r="I50" s="2470" t="str">
        <f>S49&amp;".1"</f>
        <v>.1</v>
      </c>
      <c r="J50" s="1270"/>
      <c r="K50" s="1270"/>
      <c r="L50" s="1273" t="s">
        <v>410</v>
      </c>
      <c r="M50" s="447"/>
      <c r="N50" s="447"/>
      <c r="O50" s="447"/>
      <c r="P50" s="2472">
        <v>1</v>
      </c>
      <c r="Q50" s="1408"/>
      <c r="R50" s="293"/>
      <c r="S50" s="972"/>
      <c r="T50" s="1310"/>
      <c r="U50" s="1311"/>
      <c r="V50" s="2510"/>
      <c r="W50" s="2510"/>
      <c r="X50" s="2510"/>
      <c r="Y50" s="2510"/>
      <c r="Z50" s="2510"/>
      <c r="AA50" s="2510"/>
      <c r="AB50" s="2510"/>
      <c r="AC50" s="2511"/>
      <c r="AD50" s="2509"/>
      <c r="AE50" s="2510"/>
      <c r="AF50" s="2510"/>
      <c r="AG50" s="2510"/>
      <c r="AH50" s="2510"/>
      <c r="AI50" s="2510"/>
      <c r="AJ50" s="2510"/>
      <c r="AK50" s="2510"/>
      <c r="AL50" s="2510"/>
      <c r="AM50" s="2510"/>
      <c r="AN50" s="2510"/>
      <c r="AO50" s="2510"/>
      <c r="AP50" s="2510"/>
      <c r="AQ50" s="2510"/>
      <c r="AR50" s="2510"/>
      <c r="AS50" s="2510"/>
      <c r="AT50" s="2510"/>
      <c r="AU50" s="2510"/>
      <c r="AV50" s="2510"/>
      <c r="AW50" s="2510"/>
      <c r="AX50" s="2510"/>
      <c r="AY50" s="2510"/>
      <c r="AZ50" s="2510"/>
      <c r="BA50" s="2510"/>
      <c r="BB50" s="2511"/>
      <c r="BC50" s="1312"/>
      <c r="BE50" s="437"/>
      <c r="BF50" s="437" t="str">
        <f t="shared" si="3"/>
        <v/>
      </c>
      <c r="BG50" s="437"/>
      <c r="BH50" s="437"/>
      <c r="BI50" s="448">
        <v>0</v>
      </c>
    </row>
    <row r="51" spans="1:61" s="1569" customFormat="1" ht="0" hidden="1" customHeight="1">
      <c r="A51" s="1270" t="s">
        <v>283</v>
      </c>
      <c r="B51" s="1270" t="s">
        <v>284</v>
      </c>
      <c r="C51" s="1270" t="s">
        <v>285</v>
      </c>
      <c r="D51" s="1270" t="s">
        <v>538</v>
      </c>
      <c r="E51" s="2469"/>
      <c r="F51" s="2469"/>
      <c r="G51" s="2469"/>
      <c r="H51" s="2469"/>
      <c r="I51" s="2471"/>
      <c r="J51" s="2470" t="str">
        <f>S49&amp;".1"</f>
        <v>.1</v>
      </c>
      <c r="K51" s="1270"/>
      <c r="L51" s="1273"/>
      <c r="M51" s="447"/>
      <c r="N51" s="447"/>
      <c r="O51" s="447"/>
      <c r="P51" s="2472"/>
      <c r="Q51" s="2472">
        <v>1</v>
      </c>
      <c r="R51" s="294"/>
      <c r="S51" s="972"/>
      <c r="T51" s="1326"/>
      <c r="U51" s="1311"/>
      <c r="V51" s="2510"/>
      <c r="W51" s="2510"/>
      <c r="X51" s="2510"/>
      <c r="Y51" s="2510"/>
      <c r="Z51" s="2510"/>
      <c r="AA51" s="2510"/>
      <c r="AB51" s="2510"/>
      <c r="AC51" s="2511"/>
      <c r="AD51" s="2509"/>
      <c r="AE51" s="2510"/>
      <c r="AF51" s="2510"/>
      <c r="AG51" s="2510"/>
      <c r="AH51" s="2510"/>
      <c r="AI51" s="2510"/>
      <c r="AJ51" s="2510"/>
      <c r="AK51" s="2510"/>
      <c r="AL51" s="2510"/>
      <c r="AM51" s="2510"/>
      <c r="AN51" s="2564"/>
      <c r="AO51" s="2564"/>
      <c r="AP51" s="2510"/>
      <c r="AQ51" s="2510"/>
      <c r="AR51" s="2510"/>
      <c r="AS51" s="2510"/>
      <c r="AT51" s="2510"/>
      <c r="AU51" s="2510"/>
      <c r="AV51" s="2510"/>
      <c r="AW51" s="2510"/>
      <c r="AX51" s="2510"/>
      <c r="AY51" s="2510"/>
      <c r="AZ51" s="2510"/>
      <c r="BA51" s="2510"/>
      <c r="BB51" s="2511"/>
      <c r="BC51" s="1312"/>
      <c r="BE51" s="437"/>
      <c r="BF51" s="437" t="str">
        <f t="shared" si="3"/>
        <v/>
      </c>
      <c r="BG51" s="437"/>
      <c r="BH51" s="437"/>
      <c r="BI51" s="448">
        <v>0</v>
      </c>
    </row>
    <row r="52" spans="1:61" ht="11.45" customHeight="1">
      <c r="A52" s="1290" t="s">
        <v>283</v>
      </c>
      <c r="B52" s="1290" t="s">
        <v>284</v>
      </c>
      <c r="C52" s="1290" t="s">
        <v>285</v>
      </c>
      <c r="D52" s="1290" t="s">
        <v>538</v>
      </c>
      <c r="E52" s="2469"/>
      <c r="F52" s="2469"/>
      <c r="G52" s="2469"/>
      <c r="H52" s="2469"/>
      <c r="I52" s="2471"/>
      <c r="J52" s="2471"/>
      <c r="K52" s="2470" t="str">
        <f>S48&amp;".1"</f>
        <v>...1</v>
      </c>
      <c r="L52" s="1291"/>
      <c r="P52" s="2472"/>
      <c r="Q52" s="2472"/>
      <c r="R52" s="294">
        <v>1</v>
      </c>
      <c r="S52" s="2538" t="str">
        <f>$K52</f>
        <v>...1</v>
      </c>
      <c r="T52" s="2558"/>
      <c r="U52" s="238"/>
      <c r="V52" s="688"/>
      <c r="W52" s="1184"/>
      <c r="X52" s="688"/>
      <c r="Y52" s="1184"/>
      <c r="Z52" s="1660"/>
      <c r="AA52" s="1396" t="s">
        <v>67</v>
      </c>
      <c r="AB52" s="1660"/>
      <c r="AC52" s="1396" t="s">
        <v>67</v>
      </c>
      <c r="AD52" s="2392" t="s">
        <v>67</v>
      </c>
      <c r="AE52" s="2534"/>
      <c r="AF52" s="2425">
        <v>1</v>
      </c>
      <c r="AG52" s="2557"/>
      <c r="AH52" s="2342" t="s">
        <v>67</v>
      </c>
      <c r="AI52" s="2534"/>
      <c r="AJ52" s="2425">
        <v>1</v>
      </c>
      <c r="AK52" s="2548" t="s">
        <v>28</v>
      </c>
      <c r="AL52" s="2342" t="s">
        <v>67</v>
      </c>
      <c r="AM52" s="2402"/>
      <c r="AN52" s="2425">
        <v>1</v>
      </c>
      <c r="AO52" s="2561"/>
      <c r="AP52" s="2562" t="s">
        <v>67</v>
      </c>
      <c r="AQ52" s="249"/>
      <c r="AR52" s="1413">
        <v>1</v>
      </c>
      <c r="AS52" s="1419" t="s">
        <v>28</v>
      </c>
      <c r="AT52" s="688"/>
      <c r="AU52" s="1184"/>
      <c r="AV52" s="688"/>
      <c r="AW52" s="1184"/>
      <c r="AX52" s="1660"/>
      <c r="AY52" s="1396" t="s">
        <v>67</v>
      </c>
      <c r="AZ52" s="1660"/>
      <c r="BA52" s="1396" t="s">
        <v>67</v>
      </c>
      <c r="BB52" s="1275"/>
      <c r="BC52" s="2491" t="s">
        <v>510</v>
      </c>
      <c r="BE52" s="437"/>
      <c r="BF52" s="437" t="str">
        <f t="shared" si="3"/>
        <v/>
      </c>
      <c r="BG52" s="437"/>
      <c r="BH52" s="437"/>
      <c r="BI52" s="1082">
        <v>11</v>
      </c>
    </row>
    <row r="53" spans="1:61" ht="11.45" customHeight="1">
      <c r="A53" s="1290"/>
      <c r="B53" s="1290"/>
      <c r="C53" s="1290"/>
      <c r="D53" s="1290"/>
      <c r="E53" s="2469"/>
      <c r="F53" s="2469"/>
      <c r="G53" s="2469"/>
      <c r="H53" s="2469"/>
      <c r="I53" s="2471"/>
      <c r="J53" s="2471"/>
      <c r="K53" s="2470"/>
      <c r="L53" s="1291"/>
      <c r="P53" s="2472"/>
      <c r="Q53" s="2472"/>
      <c r="R53" s="294"/>
      <c r="S53" s="2539"/>
      <c r="T53" s="2559"/>
      <c r="U53" s="238"/>
      <c r="V53" s="1320"/>
      <c r="W53" s="1423"/>
      <c r="X53" s="1320"/>
      <c r="Y53" s="1423"/>
      <c r="Z53" s="1320"/>
      <c r="AA53" s="1320"/>
      <c r="AB53" s="1320"/>
      <c r="AC53" s="1320"/>
      <c r="AD53" s="2393"/>
      <c r="AE53" s="2534"/>
      <c r="AF53" s="2425"/>
      <c r="AG53" s="2557"/>
      <c r="AH53" s="2342"/>
      <c r="AI53" s="2534"/>
      <c r="AJ53" s="2425"/>
      <c r="AK53" s="2548"/>
      <c r="AL53" s="2342"/>
      <c r="AM53" s="2407"/>
      <c r="AN53" s="2425"/>
      <c r="AO53" s="2561"/>
      <c r="AP53" s="2563"/>
      <c r="AQ53" s="254"/>
      <c r="AR53" s="353"/>
      <c r="AS53" s="353" t="s">
        <v>511</v>
      </c>
      <c r="AT53" s="1320"/>
      <c r="AU53" s="1423"/>
      <c r="AV53" s="1320"/>
      <c r="AW53" s="1423"/>
      <c r="AX53" s="1320"/>
      <c r="AY53" s="1320"/>
      <c r="AZ53" s="1320"/>
      <c r="BA53" s="1320"/>
      <c r="BB53" s="1324"/>
      <c r="BC53" s="2492"/>
      <c r="BE53" s="437"/>
      <c r="BF53" s="437"/>
      <c r="BG53" s="437"/>
      <c r="BH53" s="437"/>
      <c r="BI53" s="1082">
        <v>11</v>
      </c>
    </row>
    <row r="54" spans="1:61" ht="11.45" customHeight="1">
      <c r="A54" s="1290" t="s">
        <v>283</v>
      </c>
      <c r="B54" s="1290"/>
      <c r="C54" s="1290"/>
      <c r="D54" s="1290"/>
      <c r="E54" s="2469"/>
      <c r="F54" s="2469"/>
      <c r="G54" s="2469"/>
      <c r="H54" s="2469"/>
      <c r="I54" s="2471"/>
      <c r="J54" s="2471"/>
      <c r="K54" s="2470"/>
      <c r="L54" s="1291"/>
      <c r="P54" s="2472"/>
      <c r="Q54" s="2472"/>
      <c r="R54" s="294"/>
      <c r="S54" s="2539"/>
      <c r="T54" s="2559"/>
      <c r="U54" s="238"/>
      <c r="V54" s="1320"/>
      <c r="W54" s="1423"/>
      <c r="X54" s="1320"/>
      <c r="Y54" s="1423"/>
      <c r="Z54" s="1320"/>
      <c r="AA54" s="1320"/>
      <c r="AB54" s="1320"/>
      <c r="AC54" s="1320"/>
      <c r="AD54" s="2393"/>
      <c r="AE54" s="2534"/>
      <c r="AF54" s="2425"/>
      <c r="AG54" s="2557"/>
      <c r="AH54" s="2342"/>
      <c r="AI54" s="2534"/>
      <c r="AJ54" s="2425"/>
      <c r="AK54" s="2548"/>
      <c r="AL54" s="2342"/>
      <c r="AM54" s="254"/>
      <c r="AN54" s="1427"/>
      <c r="AO54" s="1427" t="s">
        <v>531</v>
      </c>
      <c r="AP54" s="353"/>
      <c r="AQ54" s="353"/>
      <c r="AR54" s="353"/>
      <c r="AS54" s="1320"/>
      <c r="AT54" s="1320"/>
      <c r="AU54" s="1423"/>
      <c r="AV54" s="1320"/>
      <c r="AW54" s="1423"/>
      <c r="AX54" s="1320"/>
      <c r="AY54" s="1320"/>
      <c r="AZ54" s="1320"/>
      <c r="BA54" s="1320"/>
      <c r="BB54" s="1324"/>
      <c r="BC54" s="2492"/>
      <c r="BE54" s="437"/>
      <c r="BF54" s="437"/>
      <c r="BG54" s="437"/>
      <c r="BH54" s="437"/>
      <c r="BI54" s="1082">
        <v>11</v>
      </c>
    </row>
    <row r="55" spans="1:61" ht="11.45" customHeight="1">
      <c r="A55" s="1290" t="s">
        <v>283</v>
      </c>
      <c r="B55" s="1290"/>
      <c r="C55" s="1290"/>
      <c r="D55" s="1290"/>
      <c r="E55" s="2469"/>
      <c r="F55" s="2469"/>
      <c r="G55" s="2469"/>
      <c r="H55" s="2469"/>
      <c r="I55" s="2471"/>
      <c r="J55" s="2471"/>
      <c r="K55" s="2470"/>
      <c r="L55" s="1291"/>
      <c r="P55" s="2472"/>
      <c r="Q55" s="2472"/>
      <c r="R55" s="294"/>
      <c r="S55" s="2539"/>
      <c r="T55" s="2559"/>
      <c r="U55" s="238"/>
      <c r="V55" s="1320"/>
      <c r="W55" s="1423"/>
      <c r="X55" s="1320"/>
      <c r="Y55" s="1423"/>
      <c r="Z55" s="1320"/>
      <c r="AA55" s="1320"/>
      <c r="AB55" s="1320"/>
      <c r="AC55" s="1320"/>
      <c r="AD55" s="2393"/>
      <c r="AE55" s="2534"/>
      <c r="AF55" s="2425"/>
      <c r="AG55" s="2557"/>
      <c r="AH55" s="2342"/>
      <c r="AI55" s="232"/>
      <c r="AJ55" s="352"/>
      <c r="AK55" s="251" t="s">
        <v>532</v>
      </c>
      <c r="AL55" s="1320"/>
      <c r="AM55" s="1320"/>
      <c r="AN55" s="1320"/>
      <c r="AO55" s="1320"/>
      <c r="AP55" s="1320"/>
      <c r="AQ55" s="1320"/>
      <c r="AR55" s="1320"/>
      <c r="AS55" s="1320"/>
      <c r="AT55" s="1320"/>
      <c r="AU55" s="1423"/>
      <c r="AV55" s="1320"/>
      <c r="AW55" s="1423"/>
      <c r="AX55" s="1320"/>
      <c r="AY55" s="1320"/>
      <c r="AZ55" s="1320"/>
      <c r="BA55" s="1320"/>
      <c r="BB55" s="1324"/>
      <c r="BC55" s="2492"/>
      <c r="BE55" s="437"/>
      <c r="BF55" s="437"/>
      <c r="BG55" s="437"/>
      <c r="BH55" s="437"/>
      <c r="BI55" s="1082">
        <v>11</v>
      </c>
    </row>
    <row r="56" spans="1:61" ht="11.45" customHeight="1">
      <c r="A56" s="1290" t="s">
        <v>283</v>
      </c>
      <c r="B56" s="1290" t="s">
        <v>284</v>
      </c>
      <c r="C56" s="1290" t="s">
        <v>285</v>
      </c>
      <c r="D56" s="1290" t="s">
        <v>538</v>
      </c>
      <c r="E56" s="2469"/>
      <c r="F56" s="2469"/>
      <c r="G56" s="2469"/>
      <c r="H56" s="2469"/>
      <c r="I56" s="2471"/>
      <c r="J56" s="2471"/>
      <c r="K56" s="2470"/>
      <c r="L56" s="1291"/>
      <c r="P56" s="2472"/>
      <c r="Q56" s="2472"/>
      <c r="R56" s="294"/>
      <c r="S56" s="2540"/>
      <c r="T56" s="2560"/>
      <c r="U56" s="238"/>
      <c r="V56" s="1320"/>
      <c r="W56" s="1321" t="str">
        <f>Z52&amp;"-"&amp;AB52</f>
        <v>-</v>
      </c>
      <c r="X56" s="1320"/>
      <c r="Y56" s="1321" t="str">
        <f>AB52&amp;"-"&amp;AD52</f>
        <v>-да</v>
      </c>
      <c r="Z56" s="1320"/>
      <c r="AA56" s="1320"/>
      <c r="AB56" s="1320"/>
      <c r="AC56" s="1320"/>
      <c r="AD56" s="2347"/>
      <c r="AE56" s="250"/>
      <c r="AF56" s="252"/>
      <c r="AG56" s="353" t="s">
        <v>514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492"/>
      <c r="BE56" s="437"/>
      <c r="BF56" s="437" t="str">
        <f t="shared" ref="BF56:BF63" si="4">IF(T56="","",T56)</f>
        <v/>
      </c>
      <c r="BG56" s="437"/>
      <c r="BH56" s="437"/>
      <c r="BI56" s="1082">
        <v>11</v>
      </c>
    </row>
    <row r="57" spans="1:61" ht="11.45" customHeight="1">
      <c r="A57" s="1290" t="s">
        <v>283</v>
      </c>
      <c r="B57" s="1290" t="s">
        <v>284</v>
      </c>
      <c r="C57" s="1290" t="s">
        <v>285</v>
      </c>
      <c r="D57" s="1290" t="s">
        <v>538</v>
      </c>
      <c r="E57" s="2469"/>
      <c r="F57" s="2469"/>
      <c r="G57" s="2469"/>
      <c r="H57" s="2469"/>
      <c r="I57" s="2471"/>
      <c r="J57" s="2470"/>
      <c r="K57" s="1290"/>
      <c r="L57" s="1291"/>
      <c r="P57" s="2472"/>
      <c r="Q57" s="2472"/>
      <c r="R57" s="293"/>
      <c r="S57" s="1205"/>
      <c r="T57" s="225" t="s">
        <v>477</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493"/>
      <c r="BE57" s="437"/>
      <c r="BF57" s="437" t="str">
        <f t="shared" si="4"/>
        <v>Добавить строку</v>
      </c>
      <c r="BG57" s="437"/>
      <c r="BH57" s="437"/>
      <c r="BI57" s="1082">
        <v>11</v>
      </c>
    </row>
    <row r="58" spans="1:61" s="1569" customFormat="1" ht="0" hidden="1" customHeight="1">
      <c r="A58" s="1270" t="s">
        <v>283</v>
      </c>
      <c r="B58" s="1270" t="s">
        <v>284</v>
      </c>
      <c r="C58" s="1270" t="s">
        <v>285</v>
      </c>
      <c r="D58" s="1270" t="s">
        <v>538</v>
      </c>
      <c r="E58" s="2469"/>
      <c r="F58" s="2469"/>
      <c r="G58" s="2469"/>
      <c r="H58" s="2469"/>
      <c r="I58" s="2470"/>
      <c r="J58" s="1270"/>
      <c r="K58" s="1270"/>
      <c r="L58" s="1273"/>
      <c r="M58" s="447"/>
      <c r="N58" s="447"/>
      <c r="O58" s="447"/>
      <c r="P58" s="2472"/>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283</v>
      </c>
      <c r="B59" s="1270" t="s">
        <v>284</v>
      </c>
      <c r="C59" s="1270" t="s">
        <v>285</v>
      </c>
      <c r="D59" s="1270" t="s">
        <v>538</v>
      </c>
      <c r="E59" s="2469"/>
      <c r="F59" s="2469"/>
      <c r="G59" s="2469"/>
      <c r="H59" s="2468"/>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283</v>
      </c>
      <c r="B60" s="1270" t="s">
        <v>284</v>
      </c>
      <c r="C60" s="1270" t="s">
        <v>285</v>
      </c>
      <c r="D60" s="1241"/>
      <c r="E60" s="2469"/>
      <c r="F60" s="2469"/>
      <c r="G60" s="2468"/>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283</v>
      </c>
      <c r="B61" s="1270" t="s">
        <v>284</v>
      </c>
      <c r="C61" s="1241"/>
      <c r="D61" s="1241"/>
      <c r="E61" s="2469"/>
      <c r="F61" s="2468"/>
      <c r="G61" s="1241"/>
      <c r="H61" s="1241"/>
      <c r="I61" s="1241"/>
      <c r="J61" s="1241"/>
      <c r="K61" s="1241"/>
      <c r="L61" s="1421"/>
      <c r="M61" s="1248"/>
      <c r="N61" s="1248"/>
      <c r="P61" s="1243"/>
      <c r="Q61" s="1244"/>
      <c r="R61" s="1243"/>
      <c r="S61" s="1249"/>
      <c r="T61" s="1252" t="s">
        <v>170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283</v>
      </c>
      <c r="B62" s="1270"/>
      <c r="C62" s="1270"/>
      <c r="D62" s="1270"/>
      <c r="E62" s="2468"/>
      <c r="F62" s="1270"/>
      <c r="G62" s="1270"/>
      <c r="H62" s="1270"/>
      <c r="I62" s="1270"/>
      <c r="J62" s="1270"/>
      <c r="K62" s="1270"/>
      <c r="L62" s="1273"/>
      <c r="M62" s="1248"/>
      <c r="N62" s="1248"/>
      <c r="O62" s="455"/>
      <c r="P62" s="317"/>
      <c r="Q62" s="1271"/>
      <c r="R62" s="317"/>
      <c r="S62" s="1249"/>
      <c r="T62" s="1252" t="s">
        <v>171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172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467"/>
      <c r="U65" s="2467"/>
      <c r="V65" s="2467"/>
      <c r="W65" s="2467"/>
      <c r="X65" s="2467"/>
      <c r="Y65" s="2467"/>
      <c r="Z65" s="2467"/>
      <c r="AA65" s="2467"/>
      <c r="AB65" s="2467"/>
      <c r="AC65" s="2467"/>
      <c r="AD65" s="2467"/>
      <c r="AE65" s="2467"/>
      <c r="AF65" s="2467"/>
      <c r="AG65" s="2467"/>
      <c r="AH65" s="2467"/>
      <c r="AI65" s="2467"/>
      <c r="AJ65" s="2467"/>
      <c r="AK65" s="2467"/>
      <c r="AL65" s="2467"/>
      <c r="AM65" s="2467"/>
      <c r="AN65" s="2467"/>
      <c r="AO65" s="2467"/>
      <c r="AP65" s="2467"/>
      <c r="AQ65" s="2467"/>
      <c r="AR65" s="2467"/>
      <c r="AS65" s="2467"/>
      <c r="AT65" s="2467"/>
      <c r="AU65" s="2467"/>
      <c r="AV65" s="2467"/>
      <c r="AW65" s="2467"/>
      <c r="AX65" s="2467"/>
      <c r="AY65" s="2467"/>
      <c r="AZ65" s="2467"/>
      <c r="BA65" s="2467"/>
      <c r="BB65" s="2467"/>
      <c r="BC65" s="2467"/>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467"/>
      <c r="U67" s="2467"/>
      <c r="V67" s="2467"/>
      <c r="W67" s="2467"/>
      <c r="X67" s="2467"/>
      <c r="Y67" s="2467"/>
      <c r="Z67" s="2467"/>
      <c r="AA67" s="2467"/>
      <c r="AB67" s="2467"/>
      <c r="AC67" s="2467"/>
      <c r="AD67" s="2467"/>
      <c r="AE67" s="2467"/>
      <c r="AF67" s="2467"/>
      <c r="AG67" s="2467"/>
      <c r="AH67" s="2467"/>
      <c r="AI67" s="2467"/>
      <c r="AJ67" s="2467"/>
      <c r="AK67" s="2467"/>
      <c r="AL67" s="2467"/>
      <c r="AM67" s="2467"/>
      <c r="AN67" s="2467"/>
      <c r="AO67" s="2467"/>
      <c r="AP67" s="2467"/>
      <c r="AQ67" s="2467"/>
      <c r="AR67" s="2467"/>
      <c r="AS67" s="2467"/>
      <c r="AT67" s="2467"/>
      <c r="AU67" s="2467"/>
      <c r="AV67" s="2467"/>
      <c r="AW67" s="2467"/>
      <c r="AX67" s="2467"/>
      <c r="AY67" s="2467"/>
      <c r="AZ67" s="2467"/>
      <c r="BA67" s="2467"/>
      <c r="BB67" s="2467"/>
      <c r="BC67" s="2467"/>
      <c r="BI67" s="1082">
        <v>14</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29B87-8A7D-0268-401F-90664C67CC93}">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2" customWidth="1"/>
    <col min="19" max="19" width="12" style="2009"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468">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462"/>
      <c r="W2" s="2463"/>
      <c r="X2" s="2463"/>
      <c r="Y2" s="2463"/>
      <c r="Z2" s="2463"/>
      <c r="AA2" s="2463"/>
      <c r="AB2" s="2463"/>
      <c r="AC2" s="2463"/>
      <c r="AD2" s="2463"/>
      <c r="AE2" s="2463"/>
      <c r="AF2" s="2464"/>
      <c r="AG2" s="2462" t="e">
        <f>INDEX(PT_DIFFERENTIATION_NTAR,MATCH(A2,PT_DIFFERENTIATION_NTAR_ID,0))</f>
        <v>#N/A</v>
      </c>
      <c r="AH2" s="2463"/>
      <c r="AI2" s="2463"/>
      <c r="AJ2" s="2463"/>
      <c r="AK2" s="2463"/>
      <c r="AL2" s="2463"/>
      <c r="AM2" s="2463"/>
      <c r="AN2" s="2463"/>
      <c r="AO2" s="2463"/>
      <c r="AP2" s="2463"/>
      <c r="AQ2" s="2463"/>
      <c r="AR2" s="2464"/>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469"/>
      <c r="F3" s="2468">
        <v>1</v>
      </c>
      <c r="G3" s="1290"/>
      <c r="H3" s="1290"/>
      <c r="I3" s="1290"/>
      <c r="J3" s="1290"/>
      <c r="K3" s="1290"/>
      <c r="L3" s="1291"/>
      <c r="M3" s="1292"/>
      <c r="N3" s="1292"/>
      <c r="O3" s="1292"/>
      <c r="P3" s="1414"/>
      <c r="Q3" s="289"/>
      <c r="R3" s="290"/>
      <c r="S3" s="1420" t="e">
        <f>INDEX(PT_DIFFERENTIATION_NUM_TER,MATCH(B3,PT_DIFFERENTIATION_TER_ID,0))</f>
        <v>#N/A</v>
      </c>
      <c r="T3" s="246" t="s">
        <v>404</v>
      </c>
      <c r="U3" s="238"/>
      <c r="V3" s="2462"/>
      <c r="W3" s="2463"/>
      <c r="X3" s="2463"/>
      <c r="Y3" s="2463"/>
      <c r="Z3" s="2463"/>
      <c r="AA3" s="2463"/>
      <c r="AB3" s="2463"/>
      <c r="AC3" s="2463"/>
      <c r="AD3" s="2463"/>
      <c r="AE3" s="2463"/>
      <c r="AF3" s="2464"/>
      <c r="AG3" s="2462" t="e">
        <f>INDEX(PT_DIFFERENTIATION_TER,MATCH(B3,PT_DIFFERENTIATION_TER_ID,0))</f>
        <v>#N/A</v>
      </c>
      <c r="AH3" s="2463"/>
      <c r="AI3" s="2463"/>
      <c r="AJ3" s="2463"/>
      <c r="AK3" s="2463"/>
      <c r="AL3" s="2463"/>
      <c r="AM3" s="2463"/>
      <c r="AN3" s="2463"/>
      <c r="AO3" s="2463"/>
      <c r="AP3" s="2463"/>
      <c r="AQ3" s="2463"/>
      <c r="AR3" s="2464"/>
      <c r="AS3" s="1185" t="s">
        <v>405</v>
      </c>
      <c r="AU3" s="437"/>
      <c r="AV3" s="437" t="str">
        <f t="shared" si="0"/>
        <v>Территория действия тарифа</v>
      </c>
      <c r="AW3" s="437"/>
      <c r="AX3" s="437"/>
      <c r="AY3" s="1082">
        <v>0</v>
      </c>
    </row>
    <row r="4" spans="1:51" ht="23.25" hidden="1" customHeight="1">
      <c r="A4" s="1290"/>
      <c r="B4" s="1290"/>
      <c r="C4" s="1290"/>
      <c r="D4" s="1290"/>
      <c r="E4" s="2469"/>
      <c r="F4" s="2469"/>
      <c r="G4" s="2468">
        <v>1</v>
      </c>
      <c r="H4" s="1290"/>
      <c r="I4" s="1290"/>
      <c r="J4" s="1290"/>
      <c r="K4" s="1290"/>
      <c r="L4" s="1291"/>
      <c r="M4" s="1292"/>
      <c r="N4" s="1292"/>
      <c r="O4" s="1292"/>
      <c r="P4" s="291"/>
      <c r="Q4" s="289"/>
      <c r="R4" s="290"/>
      <c r="S4" s="1420" t="e">
        <f>INDEX(PT_DIFFERENTIATION_NUM_CS,MATCH(C4,PT_DIFFERENTIATION_CS_ID,0))</f>
        <v>#N/A</v>
      </c>
      <c r="T4" s="247" t="s">
        <v>539</v>
      </c>
      <c r="U4" s="238"/>
      <c r="V4" s="2462"/>
      <c r="W4" s="2463"/>
      <c r="X4" s="2463"/>
      <c r="Y4" s="2463"/>
      <c r="Z4" s="2463"/>
      <c r="AA4" s="2463"/>
      <c r="AB4" s="2463"/>
      <c r="AC4" s="2463"/>
      <c r="AD4" s="2463"/>
      <c r="AE4" s="2463"/>
      <c r="AF4" s="2464"/>
      <c r="AG4" s="2462" t="e">
        <f>INDEX(PT_DIFFERENTIATION_CS,MATCH(C4,PT_DIFFERENTIATION_CS_ID,0))</f>
        <v>#N/A</v>
      </c>
      <c r="AH4" s="2463"/>
      <c r="AI4" s="2463"/>
      <c r="AJ4" s="2463"/>
      <c r="AK4" s="2463"/>
      <c r="AL4" s="2463"/>
      <c r="AM4" s="2463"/>
      <c r="AN4" s="2463"/>
      <c r="AO4" s="2463"/>
      <c r="AP4" s="2463"/>
      <c r="AQ4" s="2463"/>
      <c r="AR4" s="2464"/>
      <c r="AS4" s="1185" t="s">
        <v>540</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469"/>
      <c r="F5" s="2469"/>
      <c r="G5" s="2469"/>
      <c r="H5" s="2469"/>
      <c r="I5" s="2470" t="e">
        <f>S4&amp;".1"</f>
        <v>#N/A</v>
      </c>
      <c r="J5" s="1290"/>
      <c r="K5" s="1290"/>
      <c r="L5" s="1291"/>
      <c r="P5" s="2472">
        <v>1</v>
      </c>
      <c r="Q5" s="1408"/>
      <c r="R5" s="293"/>
      <c r="S5" s="1420" t="e">
        <f>$I5</f>
        <v>#N/A</v>
      </c>
      <c r="T5" s="223" t="s">
        <v>492</v>
      </c>
      <c r="U5" s="238"/>
      <c r="V5" s="2549"/>
      <c r="W5" s="2550"/>
      <c r="X5" s="2550"/>
      <c r="Y5" s="2550"/>
      <c r="Z5" s="2550"/>
      <c r="AA5" s="2550"/>
      <c r="AB5" s="2550"/>
      <c r="AC5" s="2550"/>
      <c r="AD5" s="2550"/>
      <c r="AE5" s="2550"/>
      <c r="AF5" s="2551"/>
      <c r="AG5" s="2552"/>
      <c r="AH5" s="2553"/>
      <c r="AI5" s="2553"/>
      <c r="AJ5" s="2553"/>
      <c r="AK5" s="2553"/>
      <c r="AL5" s="2553"/>
      <c r="AM5" s="2553"/>
      <c r="AN5" s="2553"/>
      <c r="AO5" s="2553"/>
      <c r="AP5" s="2553"/>
      <c r="AQ5" s="2553"/>
      <c r="AR5" s="2554"/>
      <c r="AS5" s="1185" t="s">
        <v>493</v>
      </c>
      <c r="AU5" s="437"/>
      <c r="AV5" s="437" t="str">
        <f t="shared" si="0"/>
        <v>Наименование признака дифференциации</v>
      </c>
      <c r="AW5" s="437"/>
      <c r="AX5" s="437"/>
      <c r="AY5" s="1082">
        <v>0</v>
      </c>
    </row>
    <row r="6" spans="1:51" ht="23.25" hidden="1" customHeight="1">
      <c r="A6" s="1290"/>
      <c r="B6" s="1290"/>
      <c r="C6" s="1290"/>
      <c r="D6" s="1290"/>
      <c r="E6" s="2469"/>
      <c r="F6" s="2469"/>
      <c r="G6" s="2469"/>
      <c r="H6" s="2469"/>
      <c r="I6" s="2471"/>
      <c r="J6" s="2470" t="e">
        <f>I5&amp;".1"</f>
        <v>#N/A</v>
      </c>
      <c r="K6" s="1290"/>
      <c r="L6" s="1291" t="s">
        <v>413</v>
      </c>
      <c r="P6" s="2472"/>
      <c r="Q6" s="2472">
        <v>1</v>
      </c>
      <c r="R6" s="294"/>
      <c r="S6" s="1420" t="e">
        <f>$J6</f>
        <v>#N/A</v>
      </c>
      <c r="T6" s="224" t="s">
        <v>414</v>
      </c>
      <c r="U6" s="238"/>
      <c r="V6" s="2456"/>
      <c r="W6" s="2457"/>
      <c r="X6" s="2457"/>
      <c r="Y6" s="2457"/>
      <c r="Z6" s="2457"/>
      <c r="AA6" s="2457"/>
      <c r="AB6" s="2457"/>
      <c r="AC6" s="2457"/>
      <c r="AD6" s="2457"/>
      <c r="AE6" s="2457"/>
      <c r="AF6" s="2458"/>
      <c r="AG6" s="2456"/>
      <c r="AH6" s="2457"/>
      <c r="AI6" s="2457"/>
      <c r="AJ6" s="2457"/>
      <c r="AK6" s="2457"/>
      <c r="AL6" s="2457"/>
      <c r="AM6" s="2457"/>
      <c r="AN6" s="2457"/>
      <c r="AO6" s="2457"/>
      <c r="AP6" s="2457"/>
      <c r="AQ6" s="2457"/>
      <c r="AR6" s="2458"/>
      <c r="AS6" s="1234" t="s">
        <v>494</v>
      </c>
      <c r="AU6" s="437"/>
      <c r="AV6" s="437" t="str">
        <f t="shared" si="0"/>
        <v>Группа потребителей</v>
      </c>
      <c r="AW6" s="437"/>
      <c r="AX6" s="437"/>
      <c r="AY6" s="1082">
        <v>0</v>
      </c>
    </row>
    <row r="7" spans="1:51" ht="23.25" hidden="1" customHeight="1">
      <c r="A7" s="1290"/>
      <c r="B7" s="1290"/>
      <c r="C7" s="1290"/>
      <c r="D7" s="1290"/>
      <c r="E7" s="2469"/>
      <c r="F7" s="2469"/>
      <c r="G7" s="2469"/>
      <c r="H7" s="2469"/>
      <c r="I7" s="2471"/>
      <c r="J7" s="2471"/>
      <c r="K7" s="2470" t="e">
        <f>J6&amp;".1"</f>
        <v>#N/A</v>
      </c>
      <c r="L7" s="1291"/>
      <c r="P7" s="2472"/>
      <c r="Q7" s="2472"/>
      <c r="R7" s="294">
        <v>1</v>
      </c>
      <c r="S7" s="1420" t="e">
        <f>$K7</f>
        <v>#N/A</v>
      </c>
      <c r="T7" s="1364"/>
      <c r="U7" s="238"/>
      <c r="V7" s="688"/>
      <c r="W7" s="688"/>
      <c r="X7" s="688"/>
      <c r="Y7" s="688"/>
      <c r="Z7" s="688"/>
      <c r="AA7" s="688"/>
      <c r="AB7" s="688"/>
      <c r="AC7" s="2473"/>
      <c r="AD7" s="2342" t="s">
        <v>67</v>
      </c>
      <c r="AE7" s="2473"/>
      <c r="AF7" s="2342" t="s">
        <v>67</v>
      </c>
      <c r="AG7" s="688"/>
      <c r="AH7" s="688"/>
      <c r="AI7" s="688"/>
      <c r="AJ7" s="688"/>
      <c r="AK7" s="688"/>
      <c r="AL7" s="688"/>
      <c r="AM7" s="688"/>
      <c r="AN7" s="2473"/>
      <c r="AO7" s="2342" t="s">
        <v>67</v>
      </c>
      <c r="AP7" s="2475"/>
      <c r="AQ7" s="2342" t="s">
        <v>67</v>
      </c>
      <c r="AR7" s="1365"/>
      <c r="AS7" s="25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469"/>
      <c r="F8" s="2469"/>
      <c r="G8" s="2469"/>
      <c r="H8" s="2469"/>
      <c r="I8" s="2471"/>
      <c r="J8" s="2471"/>
      <c r="K8" s="2470"/>
      <c r="L8" s="1291"/>
      <c r="P8" s="2472"/>
      <c r="Q8" s="2472"/>
      <c r="R8" s="294"/>
      <c r="S8" s="1417"/>
      <c r="T8" s="238"/>
      <c r="U8" s="238"/>
      <c r="V8" s="263"/>
      <c r="W8" s="263"/>
      <c r="X8" s="263"/>
      <c r="Y8" s="263"/>
      <c r="Z8" s="263"/>
      <c r="AA8" s="263"/>
      <c r="AB8" s="263"/>
      <c r="AC8" s="2474"/>
      <c r="AD8" s="2342"/>
      <c r="AE8" s="2474"/>
      <c r="AF8" s="2342"/>
      <c r="AG8" s="263"/>
      <c r="AH8" s="263"/>
      <c r="AI8" s="263"/>
      <c r="AJ8" s="263"/>
      <c r="AK8" s="263"/>
      <c r="AL8" s="263"/>
      <c r="AM8" s="263"/>
      <c r="AN8" s="2474"/>
      <c r="AO8" s="2342"/>
      <c r="AP8" s="2476"/>
      <c r="AQ8" s="2342"/>
      <c r="AR8" s="1366"/>
      <c r="AS8" s="2555"/>
      <c r="AU8" s="437"/>
      <c r="AV8" s="437" t="str">
        <f t="shared" si="0"/>
        <v/>
      </c>
      <c r="AW8" s="437"/>
      <c r="AX8" s="437"/>
      <c r="AY8" s="1082">
        <v>0</v>
      </c>
    </row>
    <row r="9" spans="1:51" ht="21" hidden="1" customHeight="1">
      <c r="A9" s="1290"/>
      <c r="B9" s="1290"/>
      <c r="C9" s="1290"/>
      <c r="D9" s="1290"/>
      <c r="E9" s="2469"/>
      <c r="F9" s="2469"/>
      <c r="G9" s="2469"/>
      <c r="H9" s="2469"/>
      <c r="I9" s="2471"/>
      <c r="J9" s="2470"/>
      <c r="K9" s="1290"/>
      <c r="L9" s="1291"/>
      <c r="P9" s="2472"/>
      <c r="Q9" s="2472"/>
      <c r="R9" s="293"/>
      <c r="S9" s="1205"/>
      <c r="T9" s="225" t="s">
        <v>495</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496</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469"/>
      <c r="F10" s="2469"/>
      <c r="G10" s="2469"/>
      <c r="H10" s="2469"/>
      <c r="I10" s="2470"/>
      <c r="J10" s="1290"/>
      <c r="K10" s="1290"/>
      <c r="L10" s="1291"/>
      <c r="P10" s="2472"/>
      <c r="Q10" s="1408"/>
      <c r="R10" s="293"/>
      <c r="S10" s="1205"/>
      <c r="T10" s="302" t="s">
        <v>419</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469"/>
      <c r="F11" s="2469"/>
      <c r="G11" s="2469"/>
      <c r="H11" s="2468"/>
      <c r="I11" s="1290"/>
      <c r="J11" s="1290"/>
      <c r="K11" s="1290"/>
      <c r="L11" s="1291"/>
      <c r="M11" s="1292"/>
      <c r="N11" s="1292"/>
      <c r="O11" s="474"/>
      <c r="P11" s="297"/>
      <c r="Q11" s="312"/>
      <c r="R11" s="292"/>
      <c r="S11" s="1205"/>
      <c r="T11" s="309" t="s">
        <v>497</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469"/>
      <c r="F12" s="2468"/>
      <c r="G12" s="1241"/>
      <c r="H12" s="1241"/>
      <c r="I12" s="1241"/>
      <c r="J12" s="1241"/>
      <c r="K12" s="1241"/>
      <c r="L12" s="1421"/>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468"/>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466"/>
      <c r="AO15" s="2465" t="s">
        <v>67</v>
      </c>
      <c r="AP15" s="2466"/>
      <c r="AQ15" s="2465" t="s">
        <v>67</v>
      </c>
      <c r="AY15" s="1082">
        <v>0</v>
      </c>
    </row>
    <row r="16" spans="1:51" ht="14.25" hidden="1" customHeight="1">
      <c r="AG16" s="1287"/>
      <c r="AH16" s="1287"/>
      <c r="AI16" s="1287"/>
      <c r="AJ16" s="1287"/>
      <c r="AK16" s="1287"/>
      <c r="AL16" s="1287"/>
      <c r="AM16" s="1287"/>
      <c r="AN16" s="2465"/>
      <c r="AO16" s="2465"/>
      <c r="AP16" s="2465"/>
      <c r="AQ16" s="2465"/>
      <c r="AY16" s="1082">
        <v>0</v>
      </c>
    </row>
    <row r="17" spans="1:51" ht="14.25" hidden="1" customHeight="1">
      <c r="AQ17" s="265"/>
      <c r="AY17" s="1082">
        <v>0</v>
      </c>
    </row>
    <row r="18" spans="1:51" s="1293" customFormat="1" ht="22.5" hidden="1" customHeight="1">
      <c r="L18" s="1405"/>
      <c r="M18" s="1289"/>
      <c r="N18" s="1289"/>
      <c r="O18" s="1294" t="s">
        <v>421</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422</v>
      </c>
      <c r="P20" s="1289"/>
      <c r="Q20" s="1369"/>
      <c r="R20" s="1369"/>
      <c r="S20" s="666"/>
      <c r="T20" s="1087" t="s">
        <v>423</v>
      </c>
      <c r="AD20" s="124" t="s">
        <v>424</v>
      </c>
      <c r="AF20" s="124" t="s">
        <v>425</v>
      </c>
      <c r="AG20" s="1087" t="s">
        <v>423</v>
      </c>
      <c r="AO20" s="124" t="s">
        <v>426</v>
      </c>
      <c r="AQ20" s="124" t="s">
        <v>425</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4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49"/>
      <c r="U24" s="2449"/>
      <c r="V24" s="2449"/>
      <c r="W24" s="2449"/>
      <c r="X24" s="2449"/>
      <c r="Y24" s="2449"/>
      <c r="Z24" s="2449"/>
      <c r="AA24" s="2449"/>
      <c r="AB24" s="2449"/>
      <c r="AC24" s="2449"/>
      <c r="AD24" s="2449"/>
      <c r="AE24" s="2449"/>
      <c r="AF24" s="2449"/>
      <c r="AG24" s="2449"/>
      <c r="AH24" s="2449"/>
      <c r="AI24" s="2449"/>
      <c r="AJ24" s="2449"/>
      <c r="AK24" s="2449"/>
      <c r="AL24" s="2449"/>
      <c r="AM24" s="2449"/>
      <c r="AN24" s="2449"/>
      <c r="AO24" s="2449"/>
      <c r="AP24" s="2449"/>
      <c r="AQ24" s="1170"/>
      <c r="AY24" s="1082">
        <v>25</v>
      </c>
    </row>
    <row r="25" spans="1:51" ht="14.65" customHeight="1">
      <c r="Q25" s="313"/>
      <c r="R25" s="313"/>
      <c r="S25" s="2421" t="str">
        <f>IF(org=0,"Не определено",org)</f>
        <v>МУП "Городские тепловые сети" МО  "город Курчатов"</v>
      </c>
      <c r="T25" s="2421"/>
      <c r="U25" s="2421"/>
      <c r="V25" s="2421"/>
      <c r="W25" s="2421"/>
      <c r="X25" s="2421"/>
      <c r="Y25" s="2421"/>
      <c r="Z25" s="2421"/>
      <c r="AA25" s="2421"/>
      <c r="AB25" s="2421"/>
      <c r="AC25" s="2421"/>
      <c r="AD25" s="2421"/>
      <c r="AE25" s="2421"/>
      <c r="AF25" s="2421"/>
      <c r="AG25" s="2421"/>
      <c r="AH25" s="2421"/>
      <c r="AI25" s="2421"/>
      <c r="AJ25" s="2421"/>
      <c r="AK25" s="2421"/>
      <c r="AL25" s="2421"/>
      <c r="AM25" s="2421"/>
      <c r="AN25" s="2421"/>
      <c r="AO25" s="2421"/>
      <c r="AP25" s="2421"/>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459" t="s">
        <v>42</v>
      </c>
      <c r="T27" s="2459"/>
      <c r="U27" s="1299"/>
      <c r="V27" s="2461" t="str">
        <f>IF(TITLE_NAME_OR_PR_CHANGE="",IF(TITLE_NAME_OR_PR="","",TITLE_NAME_OR_PR),TITLE_NAME_OR_PR_CHANGE)</f>
        <v/>
      </c>
      <c r="W27" s="2461"/>
      <c r="X27" s="2461"/>
      <c r="Y27" s="2461"/>
      <c r="Z27" s="2461"/>
      <c r="AA27" s="2461"/>
      <c r="AB27" s="2461"/>
      <c r="AC27" s="2461"/>
      <c r="AD27" s="2461"/>
      <c r="AE27" s="2461"/>
      <c r="AF27" s="264"/>
      <c r="AG27" s="2461" t="str">
        <f>IF(TITLE_NAME_OR_PR_CHANGE="",IF(TITLE_NAME_OR_PR="","",TITLE_NAME_OR_PR),TITLE_NAME_OR_PR_CHANGE)</f>
        <v/>
      </c>
      <c r="AH27" s="2461"/>
      <c r="AI27" s="2461"/>
      <c r="AJ27" s="2461"/>
      <c r="AK27" s="2461"/>
      <c r="AL27" s="2461"/>
      <c r="AM27" s="2461"/>
      <c r="AN27" s="2461"/>
      <c r="AO27" s="2461"/>
      <c r="AP27" s="2461"/>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459" t="s">
        <v>427</v>
      </c>
      <c r="T28" s="2459"/>
      <c r="U28" s="1299"/>
      <c r="V28" s="2460">
        <f>IF(TITLE_DATE_PR_CHANGE="",IF(TITLE_DATE_PR="","",TITLE_DATE_PR),TITLE_DATE_PR_CHANGE)</f>
        <v>45775</v>
      </c>
      <c r="W28" s="2460"/>
      <c r="X28" s="2460"/>
      <c r="Y28" s="2460"/>
      <c r="Z28" s="2460"/>
      <c r="AA28" s="2460"/>
      <c r="AB28" s="2460"/>
      <c r="AC28" s="2460"/>
      <c r="AD28" s="2460"/>
      <c r="AE28" s="2460"/>
      <c r="AF28" s="264"/>
      <c r="AG28" s="2460">
        <f>IF(TITLE_DATE_PR_CHANGE="",IF(TITLE_DATE_PR="","",TITLE_DATE_PR),TITLE_DATE_PR_CHANGE)</f>
        <v>45775</v>
      </c>
      <c r="AH28" s="2460"/>
      <c r="AI28" s="2460"/>
      <c r="AJ28" s="2460"/>
      <c r="AK28" s="2460"/>
      <c r="AL28" s="2460"/>
      <c r="AM28" s="2460"/>
      <c r="AN28" s="2460"/>
      <c r="AO28" s="2460"/>
      <c r="AP28" s="2460"/>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459" t="s">
        <v>428</v>
      </c>
      <c r="T29" s="2459"/>
      <c r="U29" s="1299"/>
      <c r="V29" s="2461" t="str">
        <f>IF(TITLE_NUMBER_PR_CHANGE="",IF(TITLE_NUMBER_PR="","",TITLE_NUMBER_PR),TITLE_NUMBER_PR_CHANGE)</f>
        <v>03.5-1382</v>
      </c>
      <c r="W29" s="2461"/>
      <c r="X29" s="2461"/>
      <c r="Y29" s="2461"/>
      <c r="Z29" s="2461"/>
      <c r="AA29" s="2461"/>
      <c r="AB29" s="2461"/>
      <c r="AC29" s="2461"/>
      <c r="AD29" s="2461"/>
      <c r="AE29" s="2461"/>
      <c r="AF29" s="264"/>
      <c r="AG29" s="2461" t="str">
        <f>IF(TITLE_NUMBER_PR_CHANGE="",IF(TITLE_NUMBER_PR="","",TITLE_NUMBER_PR),TITLE_NUMBER_PR_CHANGE)</f>
        <v>03.5-1382</v>
      </c>
      <c r="AH29" s="2461"/>
      <c r="AI29" s="2461"/>
      <c r="AJ29" s="2461"/>
      <c r="AK29" s="2461"/>
      <c r="AL29" s="2461"/>
      <c r="AM29" s="2461"/>
      <c r="AN29" s="2461"/>
      <c r="AO29" s="2461"/>
      <c r="AP29" s="2461"/>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459" t="s">
        <v>43</v>
      </c>
      <c r="T30" s="2459"/>
      <c r="U30" s="1299"/>
      <c r="V30" s="2461" t="str">
        <f>IF(TITLE_IST_PUB_CHANGE="",IF(TITLE_IST_PUB="","",TITLE_IST_PUB),TITLE_IST_PUB_CHANGE)</f>
        <v/>
      </c>
      <c r="W30" s="2461"/>
      <c r="X30" s="2461"/>
      <c r="Y30" s="2461"/>
      <c r="Z30" s="2461"/>
      <c r="AA30" s="2461"/>
      <c r="AB30" s="2461"/>
      <c r="AC30" s="2461"/>
      <c r="AD30" s="2461"/>
      <c r="AE30" s="2461"/>
      <c r="AF30" s="264"/>
      <c r="AG30" s="2461" t="str">
        <f>IF(TITLE_IST_PUB_CHANGE="",IF(TITLE_IST_PUB="","",TITLE_IST_PUB),TITLE_IST_PUB_CHANGE)</f>
        <v/>
      </c>
      <c r="AH30" s="2461"/>
      <c r="AI30" s="2461"/>
      <c r="AJ30" s="2461"/>
      <c r="AK30" s="2461"/>
      <c r="AL30" s="2461"/>
      <c r="AM30" s="2461"/>
      <c r="AN30" s="2461"/>
      <c r="AO30" s="2461"/>
      <c r="AP30" s="2461"/>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459" t="s">
        <v>429</v>
      </c>
      <c r="T32" s="2459"/>
      <c r="U32" s="1299"/>
      <c r="V32" s="2460">
        <f>IF(TITLE_DATE_PR_CHANGE="",IF(TITLE_DATE_PR="","",TITLE_DATE_PR),TITLE_DATE_PR_CHANGE)</f>
        <v>45775</v>
      </c>
      <c r="W32" s="2460"/>
      <c r="X32" s="2460"/>
      <c r="Y32" s="2460"/>
      <c r="Z32" s="2460"/>
      <c r="AA32" s="2460"/>
      <c r="AB32" s="2460"/>
      <c r="AC32" s="2460"/>
      <c r="AD32" s="2460"/>
      <c r="AE32" s="2460"/>
      <c r="AF32" s="264"/>
      <c r="AG32" s="2460">
        <f>IF(TITLE_DATE_PR_CHANGE="",IF(TITLE_DATE_PR="","",TITLE_DATE_PR),TITLE_DATE_PR_CHANGE)</f>
        <v>45775</v>
      </c>
      <c r="AH32" s="2460"/>
      <c r="AI32" s="2460"/>
      <c r="AJ32" s="2460"/>
      <c r="AK32" s="2460"/>
      <c r="AL32" s="2460"/>
      <c r="AM32" s="2460"/>
      <c r="AN32" s="2460"/>
      <c r="AO32" s="2460"/>
      <c r="AP32" s="2460"/>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459" t="s">
        <v>430</v>
      </c>
      <c r="T33" s="2459"/>
      <c r="U33" s="1299"/>
      <c r="V33" s="2461" t="str">
        <f>IF(TITLE_NUMBER_PR_CHANGE="",IF(TITLE_NUMBER_PR="","",TITLE_NUMBER_PR),TITLE_NUMBER_PR_CHANGE)</f>
        <v>03.5-1382</v>
      </c>
      <c r="W33" s="2461"/>
      <c r="X33" s="2461"/>
      <c r="Y33" s="2461"/>
      <c r="Z33" s="2461"/>
      <c r="AA33" s="2461"/>
      <c r="AB33" s="2461"/>
      <c r="AC33" s="2461"/>
      <c r="AD33" s="2461"/>
      <c r="AE33" s="2461"/>
      <c r="AF33" s="264"/>
      <c r="AG33" s="2461" t="str">
        <f>IF(TITLE_NUMBER_PR_CHANGE="",IF(TITLE_NUMBER_PR="","",TITLE_NUMBER_PR),TITLE_NUMBER_PR_CHANGE)</f>
        <v>03.5-1382</v>
      </c>
      <c r="AH33" s="2461"/>
      <c r="AI33" s="2461"/>
      <c r="AJ33" s="2461"/>
      <c r="AK33" s="2461"/>
      <c r="AL33" s="2461"/>
      <c r="AM33" s="2461"/>
      <c r="AN33" s="2461"/>
      <c r="AO33" s="2461"/>
      <c r="AP33" s="2461"/>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431</v>
      </c>
      <c r="AG34" s="264"/>
      <c r="AH34" s="1562"/>
      <c r="AI34" s="1562"/>
      <c r="AJ34" s="1562"/>
      <c r="AK34" s="1562"/>
      <c r="AL34" s="1562"/>
      <c r="AM34" s="264"/>
      <c r="AN34" s="264"/>
      <c r="AO34" s="264"/>
      <c r="AP34" s="264"/>
      <c r="AQ34" s="216" t="s">
        <v>431</v>
      </c>
      <c r="AT34" s="305"/>
      <c r="AU34" s="305"/>
      <c r="AV34" s="305"/>
      <c r="AW34" s="305"/>
      <c r="AX34" s="305"/>
      <c r="AY34" s="355">
        <v>1</v>
      </c>
    </row>
    <row r="35" spans="1:51" ht="14.65" customHeight="1">
      <c r="Q35" s="313"/>
      <c r="R35" s="313"/>
      <c r="S35" s="1202"/>
      <c r="T35" s="300"/>
      <c r="U35" s="1171"/>
      <c r="V35" s="2480"/>
      <c r="W35" s="2480"/>
      <c r="X35" s="2480"/>
      <c r="Y35" s="2480"/>
      <c r="Z35" s="2480"/>
      <c r="AA35" s="2480"/>
      <c r="AB35" s="2480"/>
      <c r="AC35" s="2480"/>
      <c r="AD35" s="2480"/>
      <c r="AE35" s="2480"/>
      <c r="AF35" s="2480"/>
      <c r="AG35" s="2480"/>
      <c r="AH35" s="2480"/>
      <c r="AI35" s="2480"/>
      <c r="AJ35" s="2480"/>
      <c r="AK35" s="2480"/>
      <c r="AL35" s="2480"/>
      <c r="AM35" s="2480"/>
      <c r="AN35" s="2480"/>
      <c r="AO35" s="2480"/>
      <c r="AP35" s="2480"/>
      <c r="AQ35" s="2480"/>
      <c r="AY35" s="1082">
        <v>14</v>
      </c>
    </row>
    <row r="36" spans="1:51" ht="14.65" customHeight="1">
      <c r="Q36" s="313"/>
      <c r="R36" s="313"/>
      <c r="S36" s="2332" t="s">
        <v>307</v>
      </c>
      <c r="T36" s="2332"/>
      <c r="U36" s="2332"/>
      <c r="V36" s="2332"/>
      <c r="W36" s="2332"/>
      <c r="X36" s="2332"/>
      <c r="Y36" s="2332"/>
      <c r="Z36" s="2332"/>
      <c r="AA36" s="2332"/>
      <c r="AB36" s="2332"/>
      <c r="AC36" s="2332"/>
      <c r="AD36" s="2332"/>
      <c r="AE36" s="2332"/>
      <c r="AF36" s="2332"/>
      <c r="AG36" s="2332"/>
      <c r="AH36" s="2332"/>
      <c r="AI36" s="2332"/>
      <c r="AJ36" s="2332"/>
      <c r="AK36" s="2332"/>
      <c r="AL36" s="2332"/>
      <c r="AM36" s="2332"/>
      <c r="AN36" s="2332"/>
      <c r="AO36" s="2332"/>
      <c r="AP36" s="2332"/>
      <c r="AQ36" s="2332"/>
      <c r="AR36" s="2332"/>
      <c r="AS36" s="2332" t="s">
        <v>308</v>
      </c>
      <c r="AY36" s="1082">
        <v>14</v>
      </c>
    </row>
    <row r="37" spans="1:51" ht="14.65" customHeight="1">
      <c r="Q37" s="313"/>
      <c r="R37" s="313"/>
      <c r="S37" s="2481" t="s">
        <v>89</v>
      </c>
      <c r="T37" s="2429" t="s">
        <v>432</v>
      </c>
      <c r="U37" s="239"/>
      <c r="V37" s="2482" t="s">
        <v>433</v>
      </c>
      <c r="W37" s="2508"/>
      <c r="X37" s="2508"/>
      <c r="Y37" s="2508"/>
      <c r="Z37" s="2508"/>
      <c r="AA37" s="2508"/>
      <c r="AB37" s="2508"/>
      <c r="AC37" s="2483"/>
      <c r="AD37" s="2483"/>
      <c r="AE37" s="2484"/>
      <c r="AF37" s="2485" t="s">
        <v>434</v>
      </c>
      <c r="AG37" s="2482" t="s">
        <v>433</v>
      </c>
      <c r="AH37" s="2483"/>
      <c r="AI37" s="2483"/>
      <c r="AJ37" s="2483"/>
      <c r="AK37" s="2483"/>
      <c r="AL37" s="2483"/>
      <c r="AM37" s="2483"/>
      <c r="AN37" s="2483"/>
      <c r="AO37" s="2483"/>
      <c r="AP37" s="2484"/>
      <c r="AQ37" s="2485" t="s">
        <v>435</v>
      </c>
      <c r="AR37" s="2488" t="s">
        <v>436</v>
      </c>
      <c r="AS37" s="2332"/>
      <c r="AY37" s="1082">
        <v>14</v>
      </c>
    </row>
    <row r="38" spans="1:51" ht="19.899999999999999" customHeight="1">
      <c r="Q38" s="313"/>
      <c r="R38" s="313"/>
      <c r="S38" s="2481"/>
      <c r="T38" s="2429"/>
      <c r="U38" s="961"/>
      <c r="V38" s="2332" t="s">
        <v>541</v>
      </c>
      <c r="W38" s="2565" t="s">
        <v>542</v>
      </c>
      <c r="X38" s="2565"/>
      <c r="Y38" s="2565"/>
      <c r="Z38" s="2565" t="s">
        <v>543</v>
      </c>
      <c r="AA38" s="2565"/>
      <c r="AB38" s="2565"/>
      <c r="AC38" s="2402" t="s">
        <v>440</v>
      </c>
      <c r="AD38" s="2520"/>
      <c r="AE38" s="2403"/>
      <c r="AF38" s="2486"/>
      <c r="AG38" s="2332" t="s">
        <v>541</v>
      </c>
      <c r="AH38" s="2565" t="s">
        <v>542</v>
      </c>
      <c r="AI38" s="2565"/>
      <c r="AJ38" s="2565"/>
      <c r="AK38" s="2565" t="s">
        <v>543</v>
      </c>
      <c r="AL38" s="2565"/>
      <c r="AM38" s="2565"/>
      <c r="AN38" s="2402" t="s">
        <v>440</v>
      </c>
      <c r="AO38" s="2520"/>
      <c r="AP38" s="2403"/>
      <c r="AQ38" s="2486"/>
      <c r="AR38" s="2489"/>
      <c r="AS38" s="2332"/>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481"/>
      <c r="T39" s="2429"/>
      <c r="U39" s="961"/>
      <c r="V39" s="2332"/>
      <c r="W39" s="2565" t="s">
        <v>544</v>
      </c>
      <c r="X39" s="2565" t="s">
        <v>545</v>
      </c>
      <c r="Y39" s="2565"/>
      <c r="Z39" s="2565" t="s">
        <v>546</v>
      </c>
      <c r="AA39" s="2565" t="s">
        <v>545</v>
      </c>
      <c r="AB39" s="2565"/>
      <c r="AC39" s="2407"/>
      <c r="AD39" s="2521"/>
      <c r="AE39" s="2408"/>
      <c r="AF39" s="2486"/>
      <c r="AG39" s="2332"/>
      <c r="AH39" s="2565" t="s">
        <v>544</v>
      </c>
      <c r="AI39" s="2565" t="s">
        <v>545</v>
      </c>
      <c r="AJ39" s="2565"/>
      <c r="AK39" s="2565" t="s">
        <v>546</v>
      </c>
      <c r="AL39" s="2565" t="s">
        <v>545</v>
      </c>
      <c r="AM39" s="2565"/>
      <c r="AN39" s="2407"/>
      <c r="AO39" s="2521"/>
      <c r="AP39" s="2408"/>
      <c r="AQ39" s="2486"/>
      <c r="AR39" s="2489"/>
      <c r="AS39" s="2332"/>
      <c r="AT39" s="1563"/>
      <c r="AU39" s="1563"/>
      <c r="AV39" s="1563"/>
      <c r="AW39" s="1563"/>
      <c r="AX39" s="1563"/>
      <c r="AY39" s="1558">
        <v>19</v>
      </c>
    </row>
    <row r="40" spans="1:51" ht="61.9" customHeight="1">
      <c r="A40" s="1297"/>
      <c r="B40" s="1297" t="s">
        <v>136</v>
      </c>
      <c r="C40" s="1297" t="s">
        <v>137</v>
      </c>
      <c r="D40" s="1297" t="s">
        <v>138</v>
      </c>
      <c r="E40" s="1291" t="s">
        <v>441</v>
      </c>
      <c r="F40" s="1291" t="s">
        <v>442</v>
      </c>
      <c r="G40" s="1291" t="s">
        <v>443</v>
      </c>
      <c r="H40" s="1291"/>
      <c r="I40" s="1291" t="s">
        <v>499</v>
      </c>
      <c r="J40" s="1291" t="s">
        <v>446</v>
      </c>
      <c r="K40" s="1291" t="s">
        <v>500</v>
      </c>
      <c r="L40" s="1291" t="s">
        <v>422</v>
      </c>
      <c r="Q40" s="313"/>
      <c r="R40" s="313"/>
      <c r="S40" s="2481"/>
      <c r="T40" s="2429"/>
      <c r="U40" s="240"/>
      <c r="V40" s="2332"/>
      <c r="W40" s="2565"/>
      <c r="X40" s="1905" t="s">
        <v>547</v>
      </c>
      <c r="Y40" s="1905" t="s">
        <v>548</v>
      </c>
      <c r="Z40" s="2565"/>
      <c r="AA40" s="1905" t="s">
        <v>549</v>
      </c>
      <c r="AB40" s="1905" t="s">
        <v>550</v>
      </c>
      <c r="AC40" s="1416" t="s">
        <v>450</v>
      </c>
      <c r="AD40" s="2434" t="s">
        <v>451</v>
      </c>
      <c r="AE40" s="2448"/>
      <c r="AF40" s="2487"/>
      <c r="AG40" s="2332"/>
      <c r="AH40" s="2565"/>
      <c r="AI40" s="1905" t="s">
        <v>547</v>
      </c>
      <c r="AJ40" s="1905" t="s">
        <v>548</v>
      </c>
      <c r="AK40" s="2565"/>
      <c r="AL40" s="1905" t="s">
        <v>549</v>
      </c>
      <c r="AM40" s="1905" t="s">
        <v>550</v>
      </c>
      <c r="AN40" s="1416" t="s">
        <v>450</v>
      </c>
      <c r="AO40" s="2434" t="s">
        <v>451</v>
      </c>
      <c r="AP40" s="2448"/>
      <c r="AQ40" s="2487"/>
      <c r="AR40" s="2490"/>
      <c r="AS40" s="2332"/>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110</v>
      </c>
      <c r="T41" s="1182" t="s">
        <v>111</v>
      </c>
      <c r="U41" s="1172" t="str">
        <f ca="1">OFFSET(U41,0,-1)</f>
        <v>2</v>
      </c>
      <c r="V41" s="1409">
        <f ca="1">OFFSET(V41,0,-1)+1</f>
        <v>3</v>
      </c>
      <c r="W41" s="1268"/>
      <c r="X41" s="1268"/>
      <c r="Y41" s="1268"/>
      <c r="Z41" s="1268"/>
      <c r="AA41" s="1268"/>
      <c r="AB41" s="1268"/>
      <c r="AC41" s="1409">
        <f ca="1">OFFSET(AC41,0,-1)+1</f>
        <v>1</v>
      </c>
      <c r="AD41" s="2479">
        <f ca="1">OFFSET(AD41,0,-1)+1</f>
        <v>2</v>
      </c>
      <c r="AE41" s="2479"/>
      <c r="AF41" s="1409">
        <f ca="1">OFFSET(AF41,0,-2)+1</f>
        <v>3</v>
      </c>
      <c r="AG41" s="1409">
        <f ca="1">OFFSET(AG41,0,-1)+1</f>
        <v>4</v>
      </c>
      <c r="AH41" s="1878"/>
      <c r="AI41" s="1878"/>
      <c r="AJ41" s="1878"/>
      <c r="AK41" s="1878"/>
      <c r="AL41" s="1878"/>
      <c r="AM41" s="1409">
        <f ca="1">OFFSET(AM41,0,-1)+1</f>
        <v>1</v>
      </c>
      <c r="AN41" s="1409">
        <f ca="1">OFFSET(AN41,0,-1)+1</f>
        <v>2</v>
      </c>
      <c r="AO41" s="2479">
        <f ca="1">OFFSET(AO41,0,-1)+1</f>
        <v>3</v>
      </c>
      <c r="AP41" s="2479"/>
      <c r="AQ41" s="1409">
        <f ca="1">OFFSET(AQ41,0,-2)+1</f>
        <v>4</v>
      </c>
      <c r="AR41" s="1172">
        <f ca="1">OFFSET(AR41,0,-1)</f>
        <v>4</v>
      </c>
      <c r="AS41" s="1409">
        <f ca="1">OFFSET(AS41,0,-1)+1</f>
        <v>5</v>
      </c>
      <c r="AT41" s="448"/>
      <c r="AU41" s="448"/>
      <c r="AV41" s="448"/>
      <c r="AW41" s="448"/>
      <c r="AX41" s="448"/>
      <c r="AY41" s="433">
        <v>0</v>
      </c>
    </row>
    <row r="42" spans="1:51" ht="24" customHeight="1">
      <c r="A42" s="1290" t="s">
        <v>258</v>
      </c>
      <c r="B42" s="1290"/>
      <c r="C42" s="1290"/>
      <c r="D42" s="1290"/>
      <c r="E42" s="2468">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124</v>
      </c>
      <c r="U42" s="238"/>
      <c r="V42" s="2462"/>
      <c r="W42" s="2463"/>
      <c r="X42" s="2463"/>
      <c r="Y42" s="2463"/>
      <c r="Z42" s="2463"/>
      <c r="AA42" s="2463"/>
      <c r="AB42" s="2463"/>
      <c r="AC42" s="2463"/>
      <c r="AD42" s="2463"/>
      <c r="AE42" s="2463"/>
      <c r="AF42" s="2464"/>
      <c r="AG42" s="2462" t="str">
        <f>INDEX(PT_DIFFERENTIATION_NTAR,MATCH(A42,PT_DIFFERENTIATION_NTAR_ID,0))</f>
        <v/>
      </c>
      <c r="AH42" s="2463"/>
      <c r="AI42" s="2463"/>
      <c r="AJ42" s="2463"/>
      <c r="AK42" s="2463"/>
      <c r="AL42" s="2463"/>
      <c r="AM42" s="2463"/>
      <c r="AN42" s="2463"/>
      <c r="AO42" s="2463"/>
      <c r="AP42" s="2463"/>
      <c r="AQ42" s="2463"/>
      <c r="AR42" s="2464"/>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258</v>
      </c>
      <c r="B43" s="1290" t="s">
        <v>259</v>
      </c>
      <c r="C43" s="1290"/>
      <c r="D43" s="1290"/>
      <c r="E43" s="2469"/>
      <c r="F43" s="2468">
        <v>1</v>
      </c>
      <c r="G43" s="1290"/>
      <c r="H43" s="1290"/>
      <c r="I43" s="1290"/>
      <c r="J43" s="1290"/>
      <c r="K43" s="1290"/>
      <c r="L43" s="1291"/>
      <c r="M43" s="1292"/>
      <c r="N43" s="1292"/>
      <c r="O43" s="1292"/>
      <c r="P43" s="1414"/>
      <c r="Q43" s="289"/>
      <c r="R43" s="290"/>
      <c r="S43" s="1420" t="str">
        <f>INDEX(PT_DIFFERENTIATION_NUM_TER,MATCH(B43,PT_DIFFERENTIATION_TER_ID,0))</f>
        <v>.</v>
      </c>
      <c r="T43" s="246" t="s">
        <v>404</v>
      </c>
      <c r="U43" s="238"/>
      <c r="V43" s="2462"/>
      <c r="W43" s="2463"/>
      <c r="X43" s="2463"/>
      <c r="Y43" s="2463"/>
      <c r="Z43" s="2463"/>
      <c r="AA43" s="2463"/>
      <c r="AB43" s="2463"/>
      <c r="AC43" s="2463"/>
      <c r="AD43" s="2463"/>
      <c r="AE43" s="2463"/>
      <c r="AF43" s="2464"/>
      <c r="AG43" s="2462" t="str">
        <f>INDEX(PT_DIFFERENTIATION_TER,MATCH(B43,PT_DIFFERENTIATION_TER_ID,0))</f>
        <v/>
      </c>
      <c r="AH43" s="2463"/>
      <c r="AI43" s="2463"/>
      <c r="AJ43" s="2463"/>
      <c r="AK43" s="2463"/>
      <c r="AL43" s="2463"/>
      <c r="AM43" s="2463"/>
      <c r="AN43" s="2463"/>
      <c r="AO43" s="2463"/>
      <c r="AP43" s="2463"/>
      <c r="AQ43" s="2463"/>
      <c r="AR43" s="2464"/>
      <c r="AS43" s="1185" t="s">
        <v>405</v>
      </c>
      <c r="AU43" s="437"/>
      <c r="AV43" s="437" t="str">
        <f t="shared" si="1"/>
        <v>Территория действия тарифа</v>
      </c>
      <c r="AW43" s="437"/>
      <c r="AX43" s="437"/>
      <c r="AY43" s="1082">
        <v>23</v>
      </c>
    </row>
    <row r="44" spans="1:51" ht="24" customHeight="1">
      <c r="A44" s="1290" t="s">
        <v>258</v>
      </c>
      <c r="B44" s="1290" t="s">
        <v>259</v>
      </c>
      <c r="C44" s="1290" t="s">
        <v>260</v>
      </c>
      <c r="D44" s="1290"/>
      <c r="E44" s="2469"/>
      <c r="F44" s="2469"/>
      <c r="G44" s="2468">
        <v>1</v>
      </c>
      <c r="H44" s="1290"/>
      <c r="I44" s="1290"/>
      <c r="J44" s="1290"/>
      <c r="K44" s="1290"/>
      <c r="L44" s="1291"/>
      <c r="M44" s="1292"/>
      <c r="N44" s="1292"/>
      <c r="O44" s="1292"/>
      <c r="P44" s="291"/>
      <c r="Q44" s="289"/>
      <c r="R44" s="290"/>
      <c r="S44" s="1420" t="str">
        <f>INDEX(PT_DIFFERENTIATION_NUM_CS,MATCH(C44,PT_DIFFERENTIATION_CS_ID,0))</f>
        <v>..</v>
      </c>
      <c r="T44" s="247" t="s">
        <v>539</v>
      </c>
      <c r="U44" s="238"/>
      <c r="V44" s="2462"/>
      <c r="W44" s="2463"/>
      <c r="X44" s="2463"/>
      <c r="Y44" s="2463"/>
      <c r="Z44" s="2463"/>
      <c r="AA44" s="2463"/>
      <c r="AB44" s="2463"/>
      <c r="AC44" s="2463"/>
      <c r="AD44" s="2463"/>
      <c r="AE44" s="2463"/>
      <c r="AF44" s="2464"/>
      <c r="AG44" s="2462" t="str">
        <f>INDEX(PT_DIFFERENTIATION_CS,MATCH(C44,PT_DIFFERENTIATION_CS_ID,0))</f>
        <v/>
      </c>
      <c r="AH44" s="2463"/>
      <c r="AI44" s="2463"/>
      <c r="AJ44" s="2463"/>
      <c r="AK44" s="2463"/>
      <c r="AL44" s="2463"/>
      <c r="AM44" s="2463"/>
      <c r="AN44" s="2463"/>
      <c r="AO44" s="2463"/>
      <c r="AP44" s="2463"/>
      <c r="AQ44" s="2463"/>
      <c r="AR44" s="2464"/>
      <c r="AS44" s="1185" t="s">
        <v>540</v>
      </c>
      <c r="AU44" s="437"/>
      <c r="AV44" s="437" t="str">
        <f t="shared" si="1"/>
        <v>Наименование централизованной системы горячего водоснабжения</v>
      </c>
      <c r="AW44" s="437"/>
      <c r="AX44" s="437"/>
      <c r="AY44" s="1082">
        <v>23</v>
      </c>
    </row>
    <row r="45" spans="1:51" ht="24" customHeight="1">
      <c r="A45" s="1290" t="s">
        <v>258</v>
      </c>
      <c r="B45" s="1290" t="s">
        <v>259</v>
      </c>
      <c r="C45" s="1290" t="s">
        <v>260</v>
      </c>
      <c r="D45" s="1290" t="s">
        <v>551</v>
      </c>
      <c r="E45" s="2469"/>
      <c r="F45" s="2469"/>
      <c r="G45" s="2469"/>
      <c r="H45" s="2469"/>
      <c r="I45" s="2470" t="str">
        <f>S44&amp;".1"</f>
        <v>...1</v>
      </c>
      <c r="J45" s="1290"/>
      <c r="K45" s="1290"/>
      <c r="L45" s="1291"/>
      <c r="P45" s="2472">
        <v>1</v>
      </c>
      <c r="Q45" s="1408"/>
      <c r="R45" s="293"/>
      <c r="S45" s="1420" t="str">
        <f>$I45</f>
        <v>...1</v>
      </c>
      <c r="T45" s="223" t="s">
        <v>492</v>
      </c>
      <c r="U45" s="238"/>
      <c r="V45" s="2549"/>
      <c r="W45" s="2550"/>
      <c r="X45" s="2550"/>
      <c r="Y45" s="2550"/>
      <c r="Z45" s="2550"/>
      <c r="AA45" s="2550"/>
      <c r="AB45" s="2550"/>
      <c r="AC45" s="2550"/>
      <c r="AD45" s="2550"/>
      <c r="AE45" s="2550"/>
      <c r="AF45" s="2551"/>
      <c r="AG45" s="2552"/>
      <c r="AH45" s="2553"/>
      <c r="AI45" s="2553"/>
      <c r="AJ45" s="2553"/>
      <c r="AK45" s="2553"/>
      <c r="AL45" s="2553"/>
      <c r="AM45" s="2553"/>
      <c r="AN45" s="2553"/>
      <c r="AO45" s="2553"/>
      <c r="AP45" s="2553"/>
      <c r="AQ45" s="2553"/>
      <c r="AR45" s="2554"/>
      <c r="AS45" s="1185" t="s">
        <v>493</v>
      </c>
      <c r="AU45" s="437"/>
      <c r="AV45" s="437" t="str">
        <f t="shared" si="1"/>
        <v>Наименование признака дифференциации</v>
      </c>
      <c r="AW45" s="437"/>
      <c r="AX45" s="437"/>
      <c r="AY45" s="1082">
        <v>23</v>
      </c>
    </row>
    <row r="46" spans="1:51" ht="24" customHeight="1">
      <c r="A46" s="1290" t="s">
        <v>258</v>
      </c>
      <c r="B46" s="1290" t="s">
        <v>259</v>
      </c>
      <c r="C46" s="1290" t="s">
        <v>260</v>
      </c>
      <c r="D46" s="1290" t="s">
        <v>551</v>
      </c>
      <c r="E46" s="2469"/>
      <c r="F46" s="2469"/>
      <c r="G46" s="2469"/>
      <c r="H46" s="2469"/>
      <c r="I46" s="2471"/>
      <c r="J46" s="2470" t="str">
        <f>I45&amp;".1"</f>
        <v>...1.1</v>
      </c>
      <c r="K46" s="1290"/>
      <c r="L46" s="1291" t="s">
        <v>413</v>
      </c>
      <c r="P46" s="2472"/>
      <c r="Q46" s="2472">
        <v>1</v>
      </c>
      <c r="R46" s="294"/>
      <c r="S46" s="1420" t="str">
        <f>$J46</f>
        <v>...1.1</v>
      </c>
      <c r="T46" s="224" t="s">
        <v>414</v>
      </c>
      <c r="U46" s="238"/>
      <c r="V46" s="2456"/>
      <c r="W46" s="2457"/>
      <c r="X46" s="2457"/>
      <c r="Y46" s="2457"/>
      <c r="Z46" s="2457"/>
      <c r="AA46" s="2457"/>
      <c r="AB46" s="2457"/>
      <c r="AC46" s="2457"/>
      <c r="AD46" s="2457"/>
      <c r="AE46" s="2457"/>
      <c r="AF46" s="2458"/>
      <c r="AG46" s="2456"/>
      <c r="AH46" s="2457"/>
      <c r="AI46" s="2457"/>
      <c r="AJ46" s="2457"/>
      <c r="AK46" s="2457"/>
      <c r="AL46" s="2457"/>
      <c r="AM46" s="2457"/>
      <c r="AN46" s="2457"/>
      <c r="AO46" s="2457"/>
      <c r="AP46" s="2457"/>
      <c r="AQ46" s="2457"/>
      <c r="AR46" s="2458"/>
      <c r="AS46" s="1234" t="s">
        <v>494</v>
      </c>
      <c r="AU46" s="437"/>
      <c r="AV46" s="437" t="str">
        <f t="shared" si="1"/>
        <v>Группа потребителей</v>
      </c>
      <c r="AW46" s="437"/>
      <c r="AX46" s="437"/>
      <c r="AY46" s="1082">
        <v>23</v>
      </c>
    </row>
    <row r="47" spans="1:51" ht="24" customHeight="1">
      <c r="A47" s="1290" t="s">
        <v>258</v>
      </c>
      <c r="B47" s="1290" t="s">
        <v>259</v>
      </c>
      <c r="C47" s="1290" t="s">
        <v>260</v>
      </c>
      <c r="D47" s="1290" t="s">
        <v>551</v>
      </c>
      <c r="E47" s="2469"/>
      <c r="F47" s="2469"/>
      <c r="G47" s="2469"/>
      <c r="H47" s="2469"/>
      <c r="I47" s="2471"/>
      <c r="J47" s="2471"/>
      <c r="K47" s="2470" t="str">
        <f>J46&amp;".1"</f>
        <v>...1.1.1</v>
      </c>
      <c r="L47" s="1291"/>
      <c r="P47" s="2472"/>
      <c r="Q47" s="2472"/>
      <c r="R47" s="294">
        <v>1</v>
      </c>
      <c r="S47" s="1420" t="str">
        <f>$K47</f>
        <v>...1.1.1</v>
      </c>
      <c r="T47" s="1364"/>
      <c r="U47" s="238"/>
      <c r="V47" s="688"/>
      <c r="W47" s="688"/>
      <c r="X47" s="688"/>
      <c r="Y47" s="688"/>
      <c r="Z47" s="688"/>
      <c r="AA47" s="688"/>
      <c r="AB47" s="688"/>
      <c r="AC47" s="2466"/>
      <c r="AD47" s="2465" t="s">
        <v>67</v>
      </c>
      <c r="AE47" s="2466"/>
      <c r="AF47" s="2465" t="s">
        <v>67</v>
      </c>
      <c r="AG47" s="688"/>
      <c r="AH47" s="688"/>
      <c r="AI47" s="688"/>
      <c r="AJ47" s="688"/>
      <c r="AK47" s="688"/>
      <c r="AL47" s="688"/>
      <c r="AM47" s="688"/>
      <c r="AN47" s="2473"/>
      <c r="AO47" s="2342" t="s">
        <v>67</v>
      </c>
      <c r="AP47" s="2475"/>
      <c r="AQ47" s="2342" t="s">
        <v>19</v>
      </c>
      <c r="AR47" s="1365"/>
      <c r="AS47" s="25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258</v>
      </c>
      <c r="B48" s="1290" t="s">
        <v>259</v>
      </c>
      <c r="C48" s="1290" t="s">
        <v>260</v>
      </c>
      <c r="D48" s="1290" t="s">
        <v>551</v>
      </c>
      <c r="E48" s="2469"/>
      <c r="F48" s="2469"/>
      <c r="G48" s="2469"/>
      <c r="H48" s="2469"/>
      <c r="I48" s="2471"/>
      <c r="J48" s="2471"/>
      <c r="K48" s="2470"/>
      <c r="L48" s="1291"/>
      <c r="P48" s="2472"/>
      <c r="Q48" s="2472"/>
      <c r="R48" s="294"/>
      <c r="S48" s="1417"/>
      <c r="T48" s="238"/>
      <c r="U48" s="238"/>
      <c r="V48" s="1287"/>
      <c r="W48" s="1287"/>
      <c r="X48" s="1287"/>
      <c r="Y48" s="1287"/>
      <c r="Z48" s="1287"/>
      <c r="AA48" s="1287"/>
      <c r="AB48" s="1287"/>
      <c r="AC48" s="2465"/>
      <c r="AD48" s="2465"/>
      <c r="AE48" s="2465"/>
      <c r="AF48" s="2465"/>
      <c r="AG48" s="263"/>
      <c r="AH48" s="263"/>
      <c r="AI48" s="263"/>
      <c r="AJ48" s="263"/>
      <c r="AK48" s="263"/>
      <c r="AL48" s="263"/>
      <c r="AM48" s="263"/>
      <c r="AN48" s="2474"/>
      <c r="AO48" s="2342"/>
      <c r="AP48" s="2476"/>
      <c r="AQ48" s="2342"/>
      <c r="AR48" s="1366"/>
      <c r="AS48" s="2555"/>
      <c r="AU48" s="437"/>
      <c r="AV48" s="437" t="str">
        <f t="shared" si="1"/>
        <v/>
      </c>
      <c r="AW48" s="437"/>
      <c r="AX48" s="437"/>
      <c r="AY48" s="1082">
        <v>0</v>
      </c>
    </row>
    <row r="49" spans="1:51" ht="21" customHeight="1">
      <c r="A49" s="1290" t="s">
        <v>258</v>
      </c>
      <c r="B49" s="1290" t="s">
        <v>259</v>
      </c>
      <c r="C49" s="1290" t="s">
        <v>260</v>
      </c>
      <c r="D49" s="1290" t="s">
        <v>551</v>
      </c>
      <c r="E49" s="2469"/>
      <c r="F49" s="2469"/>
      <c r="G49" s="2469"/>
      <c r="H49" s="2469"/>
      <c r="I49" s="2471"/>
      <c r="J49" s="2470"/>
      <c r="K49" s="1290"/>
      <c r="L49" s="1291"/>
      <c r="P49" s="2472"/>
      <c r="Q49" s="2472"/>
      <c r="R49" s="293"/>
      <c r="S49" s="1205"/>
      <c r="T49" s="225" t="s">
        <v>495</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496</v>
      </c>
      <c r="AU49" s="437"/>
      <c r="AV49" s="437" t="str">
        <f t="shared" si="1"/>
        <v>Добавить значение признака дифференциации</v>
      </c>
      <c r="AW49" s="437"/>
      <c r="AX49" s="437"/>
      <c r="AY49" s="1082">
        <v>20</v>
      </c>
    </row>
    <row r="50" spans="1:51" ht="21.95" customHeight="1">
      <c r="A50" s="1290" t="s">
        <v>258</v>
      </c>
      <c r="B50" s="1290" t="s">
        <v>259</v>
      </c>
      <c r="C50" s="1290" t="s">
        <v>260</v>
      </c>
      <c r="D50" s="1290" t="s">
        <v>551</v>
      </c>
      <c r="E50" s="2469"/>
      <c r="F50" s="2469"/>
      <c r="G50" s="2469"/>
      <c r="H50" s="2469"/>
      <c r="I50" s="2470"/>
      <c r="J50" s="1290"/>
      <c r="K50" s="1290"/>
      <c r="L50" s="1291"/>
      <c r="P50" s="2472"/>
      <c r="Q50" s="1408"/>
      <c r="R50" s="293"/>
      <c r="S50" s="1205"/>
      <c r="T50" s="302" t="s">
        <v>419</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258</v>
      </c>
      <c r="B51" s="1290" t="s">
        <v>259</v>
      </c>
      <c r="C51" s="1290" t="s">
        <v>260</v>
      </c>
      <c r="D51" s="1290" t="s">
        <v>551</v>
      </c>
      <c r="E51" s="2469"/>
      <c r="F51" s="2469"/>
      <c r="G51" s="2469"/>
      <c r="H51" s="2468"/>
      <c r="I51" s="1290"/>
      <c r="J51" s="1290"/>
      <c r="K51" s="1290"/>
      <c r="L51" s="1291"/>
      <c r="M51" s="1292"/>
      <c r="N51" s="1292"/>
      <c r="O51" s="474"/>
      <c r="P51" s="297"/>
      <c r="Q51" s="312"/>
      <c r="R51" s="292"/>
      <c r="S51" s="1205"/>
      <c r="T51" s="309" t="s">
        <v>497</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258</v>
      </c>
      <c r="B52" s="1270" t="s">
        <v>259</v>
      </c>
      <c r="C52" s="1241"/>
      <c r="D52" s="1241"/>
      <c r="E52" s="2469"/>
      <c r="F52" s="2468"/>
      <c r="G52" s="1241"/>
      <c r="H52" s="1241"/>
      <c r="I52" s="1241"/>
      <c r="J52" s="1241"/>
      <c r="K52" s="1241"/>
      <c r="L52" s="1421"/>
      <c r="M52" s="1248"/>
      <c r="N52" s="1248"/>
      <c r="P52" s="1243"/>
      <c r="Q52" s="1244"/>
      <c r="R52" s="1243"/>
      <c r="S52" s="1249"/>
      <c r="T52" s="1252" t="s">
        <v>170</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258</v>
      </c>
      <c r="B53" s="1270"/>
      <c r="C53" s="1270"/>
      <c r="D53" s="1270"/>
      <c r="E53" s="2468"/>
      <c r="F53" s="1270"/>
      <c r="G53" s="1270"/>
      <c r="H53" s="1270"/>
      <c r="I53" s="1270"/>
      <c r="J53" s="1270"/>
      <c r="K53" s="1270"/>
      <c r="L53" s="1273"/>
      <c r="M53" s="1248"/>
      <c r="N53" s="1248"/>
      <c r="O53" s="455"/>
      <c r="P53" s="317"/>
      <c r="Q53" s="1271"/>
      <c r="R53" s="317"/>
      <c r="S53" s="1249"/>
      <c r="T53" s="1252" t="s">
        <v>171</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172</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467"/>
      <c r="U56" s="2467"/>
      <c r="V56" s="2467"/>
      <c r="W56" s="2467"/>
      <c r="X56" s="2467"/>
      <c r="Y56" s="2467"/>
      <c r="Z56" s="2467"/>
      <c r="AA56" s="2467"/>
      <c r="AB56" s="2467"/>
      <c r="AC56" s="2467"/>
      <c r="AD56" s="2467"/>
      <c r="AE56" s="2467"/>
      <c r="AF56" s="2467"/>
      <c r="AG56" s="2467"/>
      <c r="AH56" s="2467"/>
      <c r="AI56" s="2467"/>
      <c r="AJ56" s="2467"/>
      <c r="AK56" s="2467"/>
      <c r="AL56" s="2467"/>
      <c r="AM56" s="2467"/>
      <c r="AN56" s="2467"/>
      <c r="AO56" s="2467"/>
      <c r="AP56" s="2467"/>
      <c r="AQ56" s="2467"/>
      <c r="AR56" s="2467"/>
      <c r="AS56" s="2467"/>
      <c r="AY56" s="1082">
        <v>14</v>
      </c>
    </row>
    <row r="57" spans="1:51" ht="14.65" customHeight="1">
      <c r="O57" s="474"/>
      <c r="AY57" s="1082">
        <v>14</v>
      </c>
    </row>
    <row r="58" spans="1:51" ht="14.65" customHeight="1">
      <c r="O58" s="474"/>
      <c r="S58" s="1180"/>
      <c r="T58" s="2467"/>
      <c r="U58" s="2467"/>
      <c r="V58" s="2467"/>
      <c r="W58" s="2467"/>
      <c r="X58" s="2467"/>
      <c r="Y58" s="2467"/>
      <c r="Z58" s="2467"/>
      <c r="AA58" s="2467"/>
      <c r="AB58" s="2467"/>
      <c r="AC58" s="2467"/>
      <c r="AD58" s="2467"/>
      <c r="AE58" s="2467"/>
      <c r="AF58" s="2467"/>
      <c r="AG58" s="2467"/>
      <c r="AH58" s="2467"/>
      <c r="AI58" s="2467"/>
      <c r="AJ58" s="2467"/>
      <c r="AK58" s="2467"/>
      <c r="AL58" s="2467"/>
      <c r="AM58" s="2467"/>
      <c r="AN58" s="2467"/>
      <c r="AO58" s="2467"/>
      <c r="AP58" s="2467"/>
      <c r="AQ58" s="2467"/>
      <c r="AR58" s="2467"/>
      <c r="AS58" s="2467"/>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E9AED-209C-B4B2-E58B-15DC080758F7}">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2" customWidth="1"/>
    <col min="19" max="19" width="12" style="2009"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468">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462"/>
      <c r="W2" s="2463"/>
      <c r="X2" s="2463"/>
      <c r="Y2" s="2463"/>
      <c r="Z2" s="2463"/>
      <c r="AA2" s="2463"/>
      <c r="AB2" s="2463"/>
      <c r="AC2" s="2463"/>
      <c r="AD2" s="2463"/>
      <c r="AE2" s="2463"/>
      <c r="AF2" s="2464"/>
      <c r="AG2" s="2462" t="e">
        <f>INDEX(PT_DIFFERENTIATION_NTAR,MATCH(A2,PT_DIFFERENTIATION_NTAR_ID,0))</f>
        <v>#N/A</v>
      </c>
      <c r="AH2" s="2463"/>
      <c r="AI2" s="2463"/>
      <c r="AJ2" s="2463"/>
      <c r="AK2" s="2463"/>
      <c r="AL2" s="2463"/>
      <c r="AM2" s="2463"/>
      <c r="AN2" s="2463"/>
      <c r="AO2" s="2463"/>
      <c r="AP2" s="2463"/>
      <c r="AQ2" s="2463"/>
      <c r="AR2" s="2464"/>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469"/>
      <c r="F3" s="2468">
        <v>1</v>
      </c>
      <c r="G3" s="1290"/>
      <c r="H3" s="1290"/>
      <c r="I3" s="1290"/>
      <c r="J3" s="1290"/>
      <c r="K3" s="1290"/>
      <c r="L3" s="1291"/>
      <c r="M3" s="1292"/>
      <c r="N3" s="1292"/>
      <c r="O3" s="1292"/>
      <c r="P3" s="1414"/>
      <c r="Q3" s="289"/>
      <c r="R3" s="290"/>
      <c r="S3" s="1420" t="e">
        <f>INDEX(PT_DIFFERENTIATION_NUM_TER,MATCH(B3,PT_DIFFERENTIATION_TER_ID,0))</f>
        <v>#N/A</v>
      </c>
      <c r="T3" s="246" t="s">
        <v>404</v>
      </c>
      <c r="U3" s="238"/>
      <c r="V3" s="2462"/>
      <c r="W3" s="2463"/>
      <c r="X3" s="2463"/>
      <c r="Y3" s="2463"/>
      <c r="Z3" s="2463"/>
      <c r="AA3" s="2463"/>
      <c r="AB3" s="2463"/>
      <c r="AC3" s="2463"/>
      <c r="AD3" s="2463"/>
      <c r="AE3" s="2463"/>
      <c r="AF3" s="2464"/>
      <c r="AG3" s="2462" t="e">
        <f>INDEX(PT_DIFFERENTIATION_TER,MATCH(B3,PT_DIFFERENTIATION_TER_ID,0))</f>
        <v>#N/A</v>
      </c>
      <c r="AH3" s="2463"/>
      <c r="AI3" s="2463"/>
      <c r="AJ3" s="2463"/>
      <c r="AK3" s="2463"/>
      <c r="AL3" s="2463"/>
      <c r="AM3" s="2463"/>
      <c r="AN3" s="2463"/>
      <c r="AO3" s="2463"/>
      <c r="AP3" s="2463"/>
      <c r="AQ3" s="2463"/>
      <c r="AR3" s="2464"/>
      <c r="AS3" s="1185" t="s">
        <v>405</v>
      </c>
      <c r="AU3" s="437"/>
      <c r="AV3" s="437" t="str">
        <f t="shared" si="0"/>
        <v>Территория действия тарифа</v>
      </c>
      <c r="AW3" s="437"/>
      <c r="AX3" s="437"/>
      <c r="AY3" s="1082">
        <v>0</v>
      </c>
    </row>
    <row r="4" spans="1:51" ht="23.25" hidden="1" customHeight="1">
      <c r="A4" s="1290"/>
      <c r="B4" s="1290"/>
      <c r="C4" s="1290"/>
      <c r="D4" s="1290"/>
      <c r="E4" s="2469"/>
      <c r="F4" s="2469"/>
      <c r="G4" s="2468">
        <v>1</v>
      </c>
      <c r="H4" s="1290"/>
      <c r="I4" s="1290"/>
      <c r="J4" s="1290"/>
      <c r="K4" s="1290"/>
      <c r="L4" s="1291"/>
      <c r="M4" s="1292"/>
      <c r="N4" s="1292"/>
      <c r="O4" s="1292"/>
      <c r="P4" s="291"/>
      <c r="Q4" s="289"/>
      <c r="R4" s="290"/>
      <c r="S4" s="1420" t="e">
        <f>INDEX(PT_DIFFERENTIATION_NUM_CS,MATCH(C4,PT_DIFFERENTIATION_CS_ID,0))</f>
        <v>#N/A</v>
      </c>
      <c r="T4" s="247" t="s">
        <v>539</v>
      </c>
      <c r="U4" s="238"/>
      <c r="V4" s="2462"/>
      <c r="W4" s="2463"/>
      <c r="X4" s="2463"/>
      <c r="Y4" s="2463"/>
      <c r="Z4" s="2463"/>
      <c r="AA4" s="2463"/>
      <c r="AB4" s="2463"/>
      <c r="AC4" s="2463"/>
      <c r="AD4" s="2463"/>
      <c r="AE4" s="2463"/>
      <c r="AF4" s="2464"/>
      <c r="AG4" s="2462" t="e">
        <f>INDEX(PT_DIFFERENTIATION_CS,MATCH(C4,PT_DIFFERENTIATION_CS_ID,0))</f>
        <v>#N/A</v>
      </c>
      <c r="AH4" s="2463"/>
      <c r="AI4" s="2463"/>
      <c r="AJ4" s="2463"/>
      <c r="AK4" s="2463"/>
      <c r="AL4" s="2463"/>
      <c r="AM4" s="2463"/>
      <c r="AN4" s="2463"/>
      <c r="AO4" s="2463"/>
      <c r="AP4" s="2463"/>
      <c r="AQ4" s="2463"/>
      <c r="AR4" s="2464"/>
      <c r="AS4" s="1185" t="s">
        <v>540</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469"/>
      <c r="F5" s="2469"/>
      <c r="G5" s="2469"/>
      <c r="H5" s="2469"/>
      <c r="I5" s="2470" t="e">
        <f>S4&amp;".1"</f>
        <v>#N/A</v>
      </c>
      <c r="J5" s="1290"/>
      <c r="K5" s="1290"/>
      <c r="L5" s="1291"/>
      <c r="P5" s="2472">
        <v>1</v>
      </c>
      <c r="Q5" s="1408"/>
      <c r="R5" s="293"/>
      <c r="S5" s="1420" t="e">
        <f>$I5</f>
        <v>#N/A</v>
      </c>
      <c r="T5" s="223" t="s">
        <v>492</v>
      </c>
      <c r="U5" s="238"/>
      <c r="V5" s="2549"/>
      <c r="W5" s="2550"/>
      <c r="X5" s="2550"/>
      <c r="Y5" s="2550"/>
      <c r="Z5" s="2550"/>
      <c r="AA5" s="2550"/>
      <c r="AB5" s="2550"/>
      <c r="AC5" s="2550"/>
      <c r="AD5" s="2550"/>
      <c r="AE5" s="2550"/>
      <c r="AF5" s="2551"/>
      <c r="AG5" s="2552"/>
      <c r="AH5" s="2553"/>
      <c r="AI5" s="2553"/>
      <c r="AJ5" s="2553"/>
      <c r="AK5" s="2553"/>
      <c r="AL5" s="2553"/>
      <c r="AM5" s="2553"/>
      <c r="AN5" s="2553"/>
      <c r="AO5" s="2553"/>
      <c r="AP5" s="2553"/>
      <c r="AQ5" s="2553"/>
      <c r="AR5" s="2554"/>
      <c r="AS5" s="1185" t="s">
        <v>493</v>
      </c>
      <c r="AU5" s="437"/>
      <c r="AV5" s="437" t="str">
        <f t="shared" si="0"/>
        <v>Наименование признака дифференциации</v>
      </c>
      <c r="AW5" s="437"/>
      <c r="AX5" s="437"/>
      <c r="AY5" s="1082">
        <v>0</v>
      </c>
    </row>
    <row r="6" spans="1:51" ht="23.25" hidden="1" customHeight="1">
      <c r="A6" s="1290"/>
      <c r="B6" s="1290"/>
      <c r="C6" s="1290"/>
      <c r="D6" s="1290"/>
      <c r="E6" s="2469"/>
      <c r="F6" s="2469"/>
      <c r="G6" s="2469"/>
      <c r="H6" s="2469"/>
      <c r="I6" s="2471"/>
      <c r="J6" s="2470" t="e">
        <f>I5&amp;".1"</f>
        <v>#N/A</v>
      </c>
      <c r="K6" s="1290"/>
      <c r="L6" s="1291" t="s">
        <v>413</v>
      </c>
      <c r="P6" s="2472"/>
      <c r="Q6" s="2472">
        <v>1</v>
      </c>
      <c r="R6" s="294"/>
      <c r="S6" s="1420" t="e">
        <f>$J6</f>
        <v>#N/A</v>
      </c>
      <c r="T6" s="224" t="s">
        <v>414</v>
      </c>
      <c r="U6" s="238"/>
      <c r="V6" s="2456"/>
      <c r="W6" s="2457"/>
      <c r="X6" s="2457"/>
      <c r="Y6" s="2457"/>
      <c r="Z6" s="2457"/>
      <c r="AA6" s="2457"/>
      <c r="AB6" s="2457"/>
      <c r="AC6" s="2457"/>
      <c r="AD6" s="2457"/>
      <c r="AE6" s="2457"/>
      <c r="AF6" s="2458"/>
      <c r="AG6" s="2456"/>
      <c r="AH6" s="2457"/>
      <c r="AI6" s="2457"/>
      <c r="AJ6" s="2457"/>
      <c r="AK6" s="2457"/>
      <c r="AL6" s="2457"/>
      <c r="AM6" s="2457"/>
      <c r="AN6" s="2457"/>
      <c r="AO6" s="2457"/>
      <c r="AP6" s="2457"/>
      <c r="AQ6" s="2457"/>
      <c r="AR6" s="2458"/>
      <c r="AS6" s="1234" t="s">
        <v>494</v>
      </c>
      <c r="AU6" s="437"/>
      <c r="AV6" s="437" t="str">
        <f t="shared" si="0"/>
        <v>Группа потребителей</v>
      </c>
      <c r="AW6" s="437"/>
      <c r="AX6" s="437"/>
      <c r="AY6" s="1082">
        <v>0</v>
      </c>
    </row>
    <row r="7" spans="1:51" ht="23.25" hidden="1" customHeight="1">
      <c r="A7" s="1290"/>
      <c r="B7" s="1290"/>
      <c r="C7" s="1290"/>
      <c r="D7" s="1290"/>
      <c r="E7" s="2469"/>
      <c r="F7" s="2469"/>
      <c r="G7" s="2469"/>
      <c r="H7" s="2469"/>
      <c r="I7" s="2471"/>
      <c r="J7" s="2471"/>
      <c r="K7" s="2470" t="e">
        <f>J6&amp;".1"</f>
        <v>#N/A</v>
      </c>
      <c r="L7" s="1291"/>
      <c r="P7" s="2472"/>
      <c r="Q7" s="2472"/>
      <c r="R7" s="294">
        <v>1</v>
      </c>
      <c r="S7" s="1420" t="e">
        <f>$K7</f>
        <v>#N/A</v>
      </c>
      <c r="T7" s="1364"/>
      <c r="U7" s="238"/>
      <c r="V7" s="688"/>
      <c r="W7" s="688"/>
      <c r="X7" s="688"/>
      <c r="Y7" s="688"/>
      <c r="Z7" s="688"/>
      <c r="AA7" s="688"/>
      <c r="AB7" s="1184"/>
      <c r="AC7" s="2473"/>
      <c r="AD7" s="2342" t="s">
        <v>67</v>
      </c>
      <c r="AE7" s="2473"/>
      <c r="AF7" s="2342" t="s">
        <v>67</v>
      </c>
      <c r="AG7" s="688"/>
      <c r="AH7" s="688"/>
      <c r="AI7" s="688"/>
      <c r="AJ7" s="688"/>
      <c r="AK7" s="688"/>
      <c r="AL7" s="688"/>
      <c r="AM7" s="1184"/>
      <c r="AN7" s="2473"/>
      <c r="AO7" s="2342" t="s">
        <v>67</v>
      </c>
      <c r="AP7" s="2475"/>
      <c r="AQ7" s="2342" t="s">
        <v>67</v>
      </c>
      <c r="AR7" s="1365"/>
      <c r="AS7" s="25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469"/>
      <c r="F8" s="2469"/>
      <c r="G8" s="2469"/>
      <c r="H8" s="2469"/>
      <c r="I8" s="2471"/>
      <c r="J8" s="2471"/>
      <c r="K8" s="2470"/>
      <c r="L8" s="1291"/>
      <c r="P8" s="2472"/>
      <c r="Q8" s="2472"/>
      <c r="R8" s="294"/>
      <c r="S8" s="1417"/>
      <c r="T8" s="238"/>
      <c r="U8" s="238"/>
      <c r="V8" s="263"/>
      <c r="W8" s="263"/>
      <c r="X8" s="263"/>
      <c r="Y8" s="263"/>
      <c r="Z8" s="263"/>
      <c r="AA8" s="263"/>
      <c r="AB8" s="266" t="str">
        <f>AC7&amp;"-"&amp;AE7</f>
        <v>-</v>
      </c>
      <c r="AC8" s="2474"/>
      <c r="AD8" s="2342"/>
      <c r="AE8" s="2474"/>
      <c r="AF8" s="2342"/>
      <c r="AG8" s="263"/>
      <c r="AH8" s="263"/>
      <c r="AI8" s="263"/>
      <c r="AJ8" s="263"/>
      <c r="AK8" s="263"/>
      <c r="AL8" s="263"/>
      <c r="AM8" s="266" t="str">
        <f>AN7&amp;"-"&amp;AP7</f>
        <v>-</v>
      </c>
      <c r="AN8" s="2474"/>
      <c r="AO8" s="2342"/>
      <c r="AP8" s="2476"/>
      <c r="AQ8" s="2342"/>
      <c r="AR8" s="1366"/>
      <c r="AS8" s="2555"/>
      <c r="AU8" s="437"/>
      <c r="AV8" s="437" t="str">
        <f t="shared" si="0"/>
        <v/>
      </c>
      <c r="AW8" s="437"/>
      <c r="AX8" s="437"/>
      <c r="AY8" s="1082">
        <v>0</v>
      </c>
    </row>
    <row r="9" spans="1:51" ht="21" hidden="1" customHeight="1">
      <c r="A9" s="1290"/>
      <c r="B9" s="1290"/>
      <c r="C9" s="1290"/>
      <c r="D9" s="1290"/>
      <c r="E9" s="2469"/>
      <c r="F9" s="2469"/>
      <c r="G9" s="2469"/>
      <c r="H9" s="2469"/>
      <c r="I9" s="2471"/>
      <c r="J9" s="2470"/>
      <c r="K9" s="1290"/>
      <c r="L9" s="1291"/>
      <c r="P9" s="2472"/>
      <c r="Q9" s="2472"/>
      <c r="R9" s="293"/>
      <c r="S9" s="1205"/>
      <c r="T9" s="225" t="s">
        <v>495</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496</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469"/>
      <c r="F10" s="2469"/>
      <c r="G10" s="2469"/>
      <c r="H10" s="2469"/>
      <c r="I10" s="2470"/>
      <c r="J10" s="1290"/>
      <c r="K10" s="1290"/>
      <c r="L10" s="1291"/>
      <c r="P10" s="2472"/>
      <c r="Q10" s="1408"/>
      <c r="R10" s="293"/>
      <c r="S10" s="1205"/>
      <c r="T10" s="302" t="s">
        <v>419</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469"/>
      <c r="F11" s="2469"/>
      <c r="G11" s="2469"/>
      <c r="H11" s="2468"/>
      <c r="I11" s="1290"/>
      <c r="J11" s="1290"/>
      <c r="K11" s="1290"/>
      <c r="L11" s="1291"/>
      <c r="M11" s="1292"/>
      <c r="N11" s="1292"/>
      <c r="O11" s="474"/>
      <c r="P11" s="297"/>
      <c r="Q11" s="312"/>
      <c r="R11" s="292"/>
      <c r="S11" s="1205"/>
      <c r="T11" s="309" t="s">
        <v>497</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469"/>
      <c r="F12" s="2468"/>
      <c r="G12" s="1241"/>
      <c r="H12" s="1241"/>
      <c r="I12" s="1241"/>
      <c r="J12" s="1241"/>
      <c r="K12" s="1241"/>
      <c r="L12" s="1421"/>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468"/>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466"/>
      <c r="AO15" s="2465" t="s">
        <v>67</v>
      </c>
      <c r="AP15" s="2466"/>
      <c r="AQ15" s="2465" t="s">
        <v>67</v>
      </c>
      <c r="AY15" s="1082">
        <v>0</v>
      </c>
    </row>
    <row r="16" spans="1:51" ht="14.25" hidden="1" customHeight="1">
      <c r="AG16" s="1287"/>
      <c r="AH16" s="1287"/>
      <c r="AI16" s="1287"/>
      <c r="AJ16" s="1287"/>
      <c r="AK16" s="1287"/>
      <c r="AL16" s="1287"/>
      <c r="AM16" s="266" t="str">
        <f>AN15&amp;"-"&amp;AP15</f>
        <v>-</v>
      </c>
      <c r="AN16" s="2465"/>
      <c r="AO16" s="2465"/>
      <c r="AP16" s="2465"/>
      <c r="AQ16" s="2465"/>
      <c r="AY16" s="1082">
        <v>0</v>
      </c>
    </row>
    <row r="17" spans="1:51" ht="14.25" hidden="1" customHeight="1">
      <c r="AQ17" s="265"/>
      <c r="AY17" s="1082">
        <v>0</v>
      </c>
    </row>
    <row r="18" spans="1:51" s="1293" customFormat="1" ht="22.5" hidden="1" customHeight="1">
      <c r="L18" s="1405"/>
      <c r="M18" s="1289"/>
      <c r="N18" s="1289"/>
      <c r="O18" s="1294" t="s">
        <v>421</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422</v>
      </c>
      <c r="P20" s="1289"/>
      <c r="Q20" s="1369"/>
      <c r="R20" s="1369"/>
      <c r="S20" s="666"/>
      <c r="T20" s="1087" t="s">
        <v>423</v>
      </c>
      <c r="AD20" s="124" t="s">
        <v>424</v>
      </c>
      <c r="AF20" s="124" t="s">
        <v>425</v>
      </c>
      <c r="AG20" s="1087" t="s">
        <v>423</v>
      </c>
      <c r="AO20" s="124" t="s">
        <v>426</v>
      </c>
      <c r="AQ20" s="124" t="s">
        <v>425</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4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49"/>
      <c r="U24" s="2449"/>
      <c r="V24" s="2449"/>
      <c r="W24" s="2449"/>
      <c r="X24" s="2449"/>
      <c r="Y24" s="2449"/>
      <c r="Z24" s="2449"/>
      <c r="AA24" s="2449"/>
      <c r="AB24" s="2449"/>
      <c r="AC24" s="2449"/>
      <c r="AD24" s="2449"/>
      <c r="AE24" s="2449"/>
      <c r="AF24" s="2449"/>
      <c r="AG24" s="2449"/>
      <c r="AH24" s="2449"/>
      <c r="AI24" s="2449"/>
      <c r="AJ24" s="2449"/>
      <c r="AK24" s="2449"/>
      <c r="AL24" s="2449"/>
      <c r="AM24" s="2449"/>
      <c r="AN24" s="2449"/>
      <c r="AO24" s="2449"/>
      <c r="AP24" s="2449"/>
      <c r="AQ24" s="1170"/>
      <c r="AY24" s="1082">
        <v>25</v>
      </c>
    </row>
    <row r="25" spans="1:51" ht="14.65" customHeight="1">
      <c r="Q25" s="313"/>
      <c r="R25" s="313"/>
      <c r="S25" s="2421" t="str">
        <f>IF(org=0,"Не определено",org)</f>
        <v>МУП "Городские тепловые сети" МО  "город Курчатов"</v>
      </c>
      <c r="T25" s="2421"/>
      <c r="U25" s="2421"/>
      <c r="V25" s="2421"/>
      <c r="W25" s="2421"/>
      <c r="X25" s="2421"/>
      <c r="Y25" s="2421"/>
      <c r="Z25" s="2421"/>
      <c r="AA25" s="2421"/>
      <c r="AB25" s="2421"/>
      <c r="AC25" s="2421"/>
      <c r="AD25" s="2421"/>
      <c r="AE25" s="2421"/>
      <c r="AF25" s="2421"/>
      <c r="AG25" s="2421"/>
      <c r="AH25" s="2421"/>
      <c r="AI25" s="2421"/>
      <c r="AJ25" s="2421"/>
      <c r="AK25" s="2421"/>
      <c r="AL25" s="2421"/>
      <c r="AM25" s="2421"/>
      <c r="AN25" s="2421"/>
      <c r="AO25" s="2421"/>
      <c r="AP25" s="2421"/>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459" t="s">
        <v>42</v>
      </c>
      <c r="T27" s="2459"/>
      <c r="U27" s="1299"/>
      <c r="V27" s="2461" t="str">
        <f>IF(TITLE_NAME_OR_PR_CHANGE="",IF(TITLE_NAME_OR_PR="","",TITLE_NAME_OR_PR),TITLE_NAME_OR_PR_CHANGE)</f>
        <v/>
      </c>
      <c r="W27" s="2461"/>
      <c r="X27" s="2461"/>
      <c r="Y27" s="2461"/>
      <c r="Z27" s="2461"/>
      <c r="AA27" s="2461"/>
      <c r="AB27" s="2461"/>
      <c r="AC27" s="2461"/>
      <c r="AD27" s="2461"/>
      <c r="AE27" s="2461"/>
      <c r="AF27" s="264"/>
      <c r="AG27" s="2461" t="str">
        <f>IF(TITLE_NAME_OR_PR_CHANGE="",IF(TITLE_NAME_OR_PR="","",TITLE_NAME_OR_PR),TITLE_NAME_OR_PR_CHANGE)</f>
        <v/>
      </c>
      <c r="AH27" s="2461"/>
      <c r="AI27" s="2461"/>
      <c r="AJ27" s="2461"/>
      <c r="AK27" s="2461"/>
      <c r="AL27" s="2461"/>
      <c r="AM27" s="2461"/>
      <c r="AN27" s="2461"/>
      <c r="AO27" s="2461"/>
      <c r="AP27" s="2461"/>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459" t="s">
        <v>427</v>
      </c>
      <c r="T28" s="2459"/>
      <c r="U28" s="1299"/>
      <c r="V28" s="2460">
        <f>IF(TITLE_DATE_PR_CHANGE="",IF(TITLE_DATE_PR="","",TITLE_DATE_PR),TITLE_DATE_PR_CHANGE)</f>
        <v>45775</v>
      </c>
      <c r="W28" s="2460"/>
      <c r="X28" s="2460"/>
      <c r="Y28" s="2460"/>
      <c r="Z28" s="2460"/>
      <c r="AA28" s="2460"/>
      <c r="AB28" s="2460"/>
      <c r="AC28" s="2460"/>
      <c r="AD28" s="2460"/>
      <c r="AE28" s="2460"/>
      <c r="AF28" s="264"/>
      <c r="AG28" s="2460">
        <f>IF(TITLE_DATE_PR_CHANGE="",IF(TITLE_DATE_PR="","",TITLE_DATE_PR),TITLE_DATE_PR_CHANGE)</f>
        <v>45775</v>
      </c>
      <c r="AH28" s="2460"/>
      <c r="AI28" s="2460"/>
      <c r="AJ28" s="2460"/>
      <c r="AK28" s="2460"/>
      <c r="AL28" s="2460"/>
      <c r="AM28" s="2460"/>
      <c r="AN28" s="2460"/>
      <c r="AO28" s="2460"/>
      <c r="AP28" s="2460"/>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459" t="s">
        <v>428</v>
      </c>
      <c r="T29" s="2459"/>
      <c r="U29" s="1299"/>
      <c r="V29" s="2461" t="str">
        <f>IF(TITLE_NUMBER_PR_CHANGE="",IF(TITLE_NUMBER_PR="","",TITLE_NUMBER_PR),TITLE_NUMBER_PR_CHANGE)</f>
        <v>03.5-1382</v>
      </c>
      <c r="W29" s="2461"/>
      <c r="X29" s="2461"/>
      <c r="Y29" s="2461"/>
      <c r="Z29" s="2461"/>
      <c r="AA29" s="2461"/>
      <c r="AB29" s="2461"/>
      <c r="AC29" s="2461"/>
      <c r="AD29" s="2461"/>
      <c r="AE29" s="2461"/>
      <c r="AF29" s="264"/>
      <c r="AG29" s="2461" t="str">
        <f>IF(TITLE_NUMBER_PR_CHANGE="",IF(TITLE_NUMBER_PR="","",TITLE_NUMBER_PR),TITLE_NUMBER_PR_CHANGE)</f>
        <v>03.5-1382</v>
      </c>
      <c r="AH29" s="2461"/>
      <c r="AI29" s="2461"/>
      <c r="AJ29" s="2461"/>
      <c r="AK29" s="2461"/>
      <c r="AL29" s="2461"/>
      <c r="AM29" s="2461"/>
      <c r="AN29" s="2461"/>
      <c r="AO29" s="2461"/>
      <c r="AP29" s="2461"/>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459" t="s">
        <v>43</v>
      </c>
      <c r="T30" s="2459"/>
      <c r="U30" s="1299"/>
      <c r="V30" s="2461" t="str">
        <f>IF(TITLE_IST_PUB_CHANGE="",IF(TITLE_IST_PUB="","",TITLE_IST_PUB),TITLE_IST_PUB_CHANGE)</f>
        <v/>
      </c>
      <c r="W30" s="2461"/>
      <c r="X30" s="2461"/>
      <c r="Y30" s="2461"/>
      <c r="Z30" s="2461"/>
      <c r="AA30" s="2461"/>
      <c r="AB30" s="2461"/>
      <c r="AC30" s="2461"/>
      <c r="AD30" s="2461"/>
      <c r="AE30" s="2461"/>
      <c r="AF30" s="264"/>
      <c r="AG30" s="2461" t="str">
        <f>IF(TITLE_IST_PUB_CHANGE="",IF(TITLE_IST_PUB="","",TITLE_IST_PUB),TITLE_IST_PUB_CHANGE)</f>
        <v/>
      </c>
      <c r="AH30" s="2461"/>
      <c r="AI30" s="2461"/>
      <c r="AJ30" s="2461"/>
      <c r="AK30" s="2461"/>
      <c r="AL30" s="2461"/>
      <c r="AM30" s="2461"/>
      <c r="AN30" s="2461"/>
      <c r="AO30" s="2461"/>
      <c r="AP30" s="2461"/>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459" t="s">
        <v>429</v>
      </c>
      <c r="T32" s="2459"/>
      <c r="U32" s="1299"/>
      <c r="V32" s="2460">
        <f>IF(TITLE_DATE_PR_CHANGE="",IF(TITLE_DATE_PR="","",TITLE_DATE_PR),TITLE_DATE_PR_CHANGE)</f>
        <v>45775</v>
      </c>
      <c r="W32" s="2460"/>
      <c r="X32" s="2460"/>
      <c r="Y32" s="2460"/>
      <c r="Z32" s="2460"/>
      <c r="AA32" s="2460"/>
      <c r="AB32" s="2460"/>
      <c r="AC32" s="2460"/>
      <c r="AD32" s="2460"/>
      <c r="AE32" s="2460"/>
      <c r="AF32" s="264"/>
      <c r="AG32" s="2460">
        <f>IF(TITLE_DATE_PR_CHANGE="",IF(TITLE_DATE_PR="","",TITLE_DATE_PR),TITLE_DATE_PR_CHANGE)</f>
        <v>45775</v>
      </c>
      <c r="AH32" s="2460"/>
      <c r="AI32" s="2460"/>
      <c r="AJ32" s="2460"/>
      <c r="AK32" s="2460"/>
      <c r="AL32" s="2460"/>
      <c r="AM32" s="2460"/>
      <c r="AN32" s="2460"/>
      <c r="AO32" s="2460"/>
      <c r="AP32" s="2460"/>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459" t="s">
        <v>430</v>
      </c>
      <c r="T33" s="2459"/>
      <c r="U33" s="1299"/>
      <c r="V33" s="2461" t="str">
        <f>IF(TITLE_NUMBER_PR_CHANGE="",IF(TITLE_NUMBER_PR="","",TITLE_NUMBER_PR),TITLE_NUMBER_PR_CHANGE)</f>
        <v>03.5-1382</v>
      </c>
      <c r="W33" s="2461"/>
      <c r="X33" s="2461"/>
      <c r="Y33" s="2461"/>
      <c r="Z33" s="2461"/>
      <c r="AA33" s="2461"/>
      <c r="AB33" s="2461"/>
      <c r="AC33" s="2461"/>
      <c r="AD33" s="2461"/>
      <c r="AE33" s="2461"/>
      <c r="AF33" s="264"/>
      <c r="AG33" s="2461" t="str">
        <f>IF(TITLE_NUMBER_PR_CHANGE="",IF(TITLE_NUMBER_PR="","",TITLE_NUMBER_PR),TITLE_NUMBER_PR_CHANGE)</f>
        <v>03.5-1382</v>
      </c>
      <c r="AH33" s="2461"/>
      <c r="AI33" s="2461"/>
      <c r="AJ33" s="2461"/>
      <c r="AK33" s="2461"/>
      <c r="AL33" s="2461"/>
      <c r="AM33" s="2461"/>
      <c r="AN33" s="2461"/>
      <c r="AO33" s="2461"/>
      <c r="AP33" s="2461"/>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431</v>
      </c>
      <c r="AG34" s="264"/>
      <c r="AH34" s="1562"/>
      <c r="AI34" s="1562"/>
      <c r="AJ34" s="1562"/>
      <c r="AK34" s="1562"/>
      <c r="AL34" s="1562"/>
      <c r="AM34" s="264"/>
      <c r="AN34" s="264"/>
      <c r="AO34" s="264"/>
      <c r="AP34" s="264"/>
      <c r="AQ34" s="216" t="s">
        <v>431</v>
      </c>
      <c r="AT34" s="305"/>
      <c r="AU34" s="305"/>
      <c r="AV34" s="305"/>
      <c r="AW34" s="305"/>
      <c r="AX34" s="305"/>
      <c r="AY34" s="355">
        <v>1</v>
      </c>
    </row>
    <row r="35" spans="1:51" ht="14.65" customHeight="1">
      <c r="Q35" s="313"/>
      <c r="R35" s="313"/>
      <c r="S35" s="1202"/>
      <c r="T35" s="300"/>
      <c r="U35" s="1171"/>
      <c r="V35" s="2480"/>
      <c r="W35" s="2480"/>
      <c r="X35" s="2480"/>
      <c r="Y35" s="2480"/>
      <c r="Z35" s="2480"/>
      <c r="AA35" s="2480"/>
      <c r="AB35" s="2480"/>
      <c r="AC35" s="2480"/>
      <c r="AD35" s="2480"/>
      <c r="AE35" s="2480"/>
      <c r="AF35" s="2480"/>
      <c r="AG35" s="2480"/>
      <c r="AH35" s="2480"/>
      <c r="AI35" s="2480"/>
      <c r="AJ35" s="2480"/>
      <c r="AK35" s="2480"/>
      <c r="AL35" s="2480"/>
      <c r="AM35" s="2480"/>
      <c r="AN35" s="2480"/>
      <c r="AO35" s="2480"/>
      <c r="AP35" s="2480"/>
      <c r="AQ35" s="2480"/>
      <c r="AY35" s="1082">
        <v>14</v>
      </c>
    </row>
    <row r="36" spans="1:51" ht="14.65" customHeight="1">
      <c r="Q36" s="313"/>
      <c r="R36" s="313"/>
      <c r="S36" s="2332" t="s">
        <v>307</v>
      </c>
      <c r="T36" s="2332"/>
      <c r="U36" s="2332"/>
      <c r="V36" s="2332"/>
      <c r="W36" s="2332"/>
      <c r="X36" s="2332"/>
      <c r="Y36" s="2332"/>
      <c r="Z36" s="2332"/>
      <c r="AA36" s="2332"/>
      <c r="AB36" s="2332"/>
      <c r="AC36" s="2332"/>
      <c r="AD36" s="2332"/>
      <c r="AE36" s="2332"/>
      <c r="AF36" s="2332"/>
      <c r="AG36" s="2332"/>
      <c r="AH36" s="2332"/>
      <c r="AI36" s="2332"/>
      <c r="AJ36" s="2332"/>
      <c r="AK36" s="2332"/>
      <c r="AL36" s="2332"/>
      <c r="AM36" s="2332"/>
      <c r="AN36" s="2332"/>
      <c r="AO36" s="2332"/>
      <c r="AP36" s="2332"/>
      <c r="AQ36" s="2332"/>
      <c r="AR36" s="2332"/>
      <c r="AS36" s="2332" t="s">
        <v>308</v>
      </c>
      <c r="AY36" s="1082">
        <v>14</v>
      </c>
    </row>
    <row r="37" spans="1:51" ht="14.65" customHeight="1">
      <c r="Q37" s="313"/>
      <c r="R37" s="313"/>
      <c r="S37" s="2481" t="s">
        <v>89</v>
      </c>
      <c r="T37" s="2429" t="s">
        <v>432</v>
      </c>
      <c r="U37" s="239"/>
      <c r="V37" s="2482" t="s">
        <v>433</v>
      </c>
      <c r="W37" s="2483"/>
      <c r="X37" s="2483"/>
      <c r="Y37" s="2483"/>
      <c r="Z37" s="2483"/>
      <c r="AA37" s="2483"/>
      <c r="AB37" s="2483"/>
      <c r="AC37" s="2483"/>
      <c r="AD37" s="2483"/>
      <c r="AE37" s="2484"/>
      <c r="AF37" s="2485" t="s">
        <v>434</v>
      </c>
      <c r="AG37" s="2482" t="s">
        <v>433</v>
      </c>
      <c r="AH37" s="2483"/>
      <c r="AI37" s="2483"/>
      <c r="AJ37" s="2483"/>
      <c r="AK37" s="2483"/>
      <c r="AL37" s="2483"/>
      <c r="AM37" s="2483"/>
      <c r="AN37" s="2483"/>
      <c r="AO37" s="2483"/>
      <c r="AP37" s="2484"/>
      <c r="AQ37" s="2485" t="s">
        <v>435</v>
      </c>
      <c r="AR37" s="2488" t="s">
        <v>436</v>
      </c>
      <c r="AS37" s="2332"/>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481"/>
      <c r="T38" s="2429"/>
      <c r="U38" s="961"/>
      <c r="V38" s="2332" t="s">
        <v>541</v>
      </c>
      <c r="W38" s="2565" t="s">
        <v>542</v>
      </c>
      <c r="X38" s="2565"/>
      <c r="Y38" s="2565"/>
      <c r="Z38" s="2565" t="s">
        <v>543</v>
      </c>
      <c r="AA38" s="2565"/>
      <c r="AB38" s="2565"/>
      <c r="AC38" s="2402" t="s">
        <v>440</v>
      </c>
      <c r="AD38" s="2520"/>
      <c r="AE38" s="2403"/>
      <c r="AF38" s="2486"/>
      <c r="AG38" s="2332" t="s">
        <v>541</v>
      </c>
      <c r="AH38" s="2565" t="s">
        <v>542</v>
      </c>
      <c r="AI38" s="2565"/>
      <c r="AJ38" s="2565"/>
      <c r="AK38" s="2565" t="s">
        <v>543</v>
      </c>
      <c r="AL38" s="2565"/>
      <c r="AM38" s="2565"/>
      <c r="AN38" s="2402" t="s">
        <v>440</v>
      </c>
      <c r="AO38" s="2520"/>
      <c r="AP38" s="2403"/>
      <c r="AQ38" s="2486"/>
      <c r="AR38" s="2489"/>
      <c r="AS38" s="2332"/>
      <c r="AT38" s="1563"/>
      <c r="AU38" s="1563"/>
      <c r="AV38" s="1563"/>
      <c r="AW38" s="1563"/>
      <c r="AX38" s="1563"/>
      <c r="AY38" s="1558">
        <v>19</v>
      </c>
    </row>
    <row r="39" spans="1:51" ht="19.899999999999999" customHeight="1">
      <c r="Q39" s="313"/>
      <c r="R39" s="313"/>
      <c r="S39" s="2481"/>
      <c r="T39" s="2429"/>
      <c r="U39" s="961"/>
      <c r="V39" s="2332"/>
      <c r="W39" s="2565" t="s">
        <v>544</v>
      </c>
      <c r="X39" s="2565" t="s">
        <v>545</v>
      </c>
      <c r="Y39" s="2565"/>
      <c r="Z39" s="2565" t="s">
        <v>546</v>
      </c>
      <c r="AA39" s="2565" t="s">
        <v>545</v>
      </c>
      <c r="AB39" s="2565"/>
      <c r="AC39" s="2407"/>
      <c r="AD39" s="2521"/>
      <c r="AE39" s="2408"/>
      <c r="AF39" s="2486"/>
      <c r="AG39" s="2332"/>
      <c r="AH39" s="2565" t="s">
        <v>544</v>
      </c>
      <c r="AI39" s="2565" t="s">
        <v>545</v>
      </c>
      <c r="AJ39" s="2565"/>
      <c r="AK39" s="2565" t="s">
        <v>546</v>
      </c>
      <c r="AL39" s="2565" t="s">
        <v>545</v>
      </c>
      <c r="AM39" s="2565"/>
      <c r="AN39" s="2407"/>
      <c r="AO39" s="2521"/>
      <c r="AP39" s="2408"/>
      <c r="AQ39" s="2486"/>
      <c r="AR39" s="2489"/>
      <c r="AS39" s="2332"/>
      <c r="AY39" s="1082">
        <v>19</v>
      </c>
    </row>
    <row r="40" spans="1:51" ht="61.9" customHeight="1">
      <c r="A40" s="1297"/>
      <c r="B40" s="1297" t="s">
        <v>136</v>
      </c>
      <c r="C40" s="1297" t="s">
        <v>137</v>
      </c>
      <c r="D40" s="1297" t="s">
        <v>138</v>
      </c>
      <c r="E40" s="1291" t="s">
        <v>441</v>
      </c>
      <c r="F40" s="1291" t="s">
        <v>442</v>
      </c>
      <c r="G40" s="1291" t="s">
        <v>443</v>
      </c>
      <c r="H40" s="1291"/>
      <c r="I40" s="1291" t="s">
        <v>499</v>
      </c>
      <c r="J40" s="1291" t="s">
        <v>446</v>
      </c>
      <c r="K40" s="1291" t="s">
        <v>500</v>
      </c>
      <c r="L40" s="1291" t="s">
        <v>422</v>
      </c>
      <c r="Q40" s="313"/>
      <c r="R40" s="313"/>
      <c r="S40" s="2481"/>
      <c r="T40" s="2429"/>
      <c r="U40" s="240"/>
      <c r="V40" s="2332"/>
      <c r="W40" s="2565"/>
      <c r="X40" s="1905" t="s">
        <v>547</v>
      </c>
      <c r="Y40" s="1905" t="s">
        <v>548</v>
      </c>
      <c r="Z40" s="2565"/>
      <c r="AA40" s="1905" t="s">
        <v>549</v>
      </c>
      <c r="AB40" s="1905" t="s">
        <v>550</v>
      </c>
      <c r="AC40" s="1416" t="s">
        <v>450</v>
      </c>
      <c r="AD40" s="2434" t="s">
        <v>451</v>
      </c>
      <c r="AE40" s="2448"/>
      <c r="AF40" s="2487"/>
      <c r="AG40" s="2332"/>
      <c r="AH40" s="2565"/>
      <c r="AI40" s="1905" t="s">
        <v>547</v>
      </c>
      <c r="AJ40" s="1905" t="s">
        <v>548</v>
      </c>
      <c r="AK40" s="2565"/>
      <c r="AL40" s="1905" t="s">
        <v>549</v>
      </c>
      <c r="AM40" s="1905" t="s">
        <v>550</v>
      </c>
      <c r="AN40" s="1416" t="s">
        <v>450</v>
      </c>
      <c r="AO40" s="2434" t="s">
        <v>451</v>
      </c>
      <c r="AP40" s="2448"/>
      <c r="AQ40" s="2487"/>
      <c r="AR40" s="2490"/>
      <c r="AS40" s="2332"/>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110</v>
      </c>
      <c r="T41" s="1182" t="s">
        <v>111</v>
      </c>
      <c r="U41" s="1172" t="str">
        <f ca="1">OFFSET(U41,0,-1)</f>
        <v>2</v>
      </c>
      <c r="V41" s="1409">
        <f ca="1">OFFSET(V41,0,-1)+1</f>
        <v>3</v>
      </c>
      <c r="W41" s="1901"/>
      <c r="X41" s="1901"/>
      <c r="Y41" s="1901"/>
      <c r="Z41" s="1901"/>
      <c r="AA41" s="1901"/>
      <c r="AB41" s="1409">
        <f ca="1">OFFSET(AB41,0,-1)+1</f>
        <v>1</v>
      </c>
      <c r="AC41" s="1409">
        <f ca="1">OFFSET(AC41,0,-1)+1</f>
        <v>2</v>
      </c>
      <c r="AD41" s="2479">
        <f ca="1">OFFSET(AD41,0,-1)+1</f>
        <v>3</v>
      </c>
      <c r="AE41" s="2479"/>
      <c r="AF41" s="1409">
        <f ca="1">OFFSET(AF41,0,-2)+1</f>
        <v>4</v>
      </c>
      <c r="AG41" s="1409">
        <f ca="1">OFFSET(AG41,0,-1)+1</f>
        <v>5</v>
      </c>
      <c r="AH41" s="1901"/>
      <c r="AI41" s="1901"/>
      <c r="AJ41" s="1901"/>
      <c r="AK41" s="1901"/>
      <c r="AL41" s="1901"/>
      <c r="AM41" s="1409">
        <f ca="1">OFFSET(AM41,0,-1)+1</f>
        <v>1</v>
      </c>
      <c r="AN41" s="1409">
        <f ca="1">OFFSET(AN41,0,-1)+1</f>
        <v>2</v>
      </c>
      <c r="AO41" s="2479">
        <f ca="1">OFFSET(AO41,0,-1)+1</f>
        <v>3</v>
      </c>
      <c r="AP41" s="2479"/>
      <c r="AQ41" s="1409">
        <f ca="1">OFFSET(AQ41,0,-2)+1</f>
        <v>4</v>
      </c>
      <c r="AR41" s="1172">
        <f ca="1">OFFSET(AR41,0,-1)</f>
        <v>4</v>
      </c>
      <c r="AS41" s="1409">
        <f ca="1">OFFSET(AS41,0,-1)+1</f>
        <v>5</v>
      </c>
      <c r="AT41" s="448"/>
      <c r="AU41" s="448"/>
      <c r="AV41" s="448"/>
      <c r="AW41" s="448"/>
      <c r="AX41" s="448"/>
      <c r="AY41" s="433">
        <v>0</v>
      </c>
    </row>
    <row r="42" spans="1:51" ht="24" customHeight="1">
      <c r="A42" s="1290" t="s">
        <v>263</v>
      </c>
      <c r="B42" s="1290"/>
      <c r="C42" s="1290"/>
      <c r="D42" s="1290"/>
      <c r="E42" s="2468">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124</v>
      </c>
      <c r="U42" s="238"/>
      <c r="V42" s="2462"/>
      <c r="W42" s="2463"/>
      <c r="X42" s="2463"/>
      <c r="Y42" s="2463"/>
      <c r="Z42" s="2463"/>
      <c r="AA42" s="2463"/>
      <c r="AB42" s="2463"/>
      <c r="AC42" s="2463"/>
      <c r="AD42" s="2463"/>
      <c r="AE42" s="2463"/>
      <c r="AF42" s="2464"/>
      <c r="AG42" s="2462" t="str">
        <f>INDEX(PT_DIFFERENTIATION_NTAR,MATCH(A42,PT_DIFFERENTIATION_NTAR_ID,0))</f>
        <v/>
      </c>
      <c r="AH42" s="2463"/>
      <c r="AI42" s="2463"/>
      <c r="AJ42" s="2463"/>
      <c r="AK42" s="2463"/>
      <c r="AL42" s="2463"/>
      <c r="AM42" s="2463"/>
      <c r="AN42" s="2463"/>
      <c r="AO42" s="2463"/>
      <c r="AP42" s="2463"/>
      <c r="AQ42" s="2463"/>
      <c r="AR42" s="2464"/>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263</v>
      </c>
      <c r="B43" s="1290" t="s">
        <v>264</v>
      </c>
      <c r="C43" s="1290"/>
      <c r="D43" s="1290"/>
      <c r="E43" s="2469"/>
      <c r="F43" s="2468">
        <v>1</v>
      </c>
      <c r="G43" s="1290"/>
      <c r="H43" s="1290"/>
      <c r="I43" s="1290"/>
      <c r="J43" s="1290"/>
      <c r="K43" s="1290"/>
      <c r="L43" s="1291"/>
      <c r="M43" s="1292"/>
      <c r="N43" s="1292"/>
      <c r="O43" s="1292"/>
      <c r="P43" s="1414"/>
      <c r="Q43" s="289"/>
      <c r="R43" s="290"/>
      <c r="S43" s="1420" t="str">
        <f>INDEX(PT_DIFFERENTIATION_NUM_TER,MATCH(B43,PT_DIFFERENTIATION_TER_ID,0))</f>
        <v>.</v>
      </c>
      <c r="T43" s="246" t="s">
        <v>404</v>
      </c>
      <c r="U43" s="238"/>
      <c r="V43" s="2462"/>
      <c r="W43" s="2463"/>
      <c r="X43" s="2463"/>
      <c r="Y43" s="2463"/>
      <c r="Z43" s="2463"/>
      <c r="AA43" s="2463"/>
      <c r="AB43" s="2463"/>
      <c r="AC43" s="2463"/>
      <c r="AD43" s="2463"/>
      <c r="AE43" s="2463"/>
      <c r="AF43" s="2464"/>
      <c r="AG43" s="2462" t="str">
        <f>INDEX(PT_DIFFERENTIATION_TER,MATCH(B43,PT_DIFFERENTIATION_TER_ID,0))</f>
        <v/>
      </c>
      <c r="AH43" s="2463"/>
      <c r="AI43" s="2463"/>
      <c r="AJ43" s="2463"/>
      <c r="AK43" s="2463"/>
      <c r="AL43" s="2463"/>
      <c r="AM43" s="2463"/>
      <c r="AN43" s="2463"/>
      <c r="AO43" s="2463"/>
      <c r="AP43" s="2463"/>
      <c r="AQ43" s="2463"/>
      <c r="AR43" s="2464"/>
      <c r="AS43" s="1185" t="s">
        <v>405</v>
      </c>
      <c r="AU43" s="437"/>
      <c r="AV43" s="437" t="str">
        <f t="shared" si="1"/>
        <v>Территория действия тарифа</v>
      </c>
      <c r="AW43" s="437"/>
      <c r="AX43" s="437"/>
      <c r="AY43" s="1082">
        <v>23</v>
      </c>
    </row>
    <row r="44" spans="1:51" ht="24" customHeight="1">
      <c r="A44" s="1290" t="s">
        <v>263</v>
      </c>
      <c r="B44" s="1290" t="s">
        <v>264</v>
      </c>
      <c r="C44" s="1290" t="s">
        <v>265</v>
      </c>
      <c r="D44" s="1290"/>
      <c r="E44" s="2469"/>
      <c r="F44" s="2469"/>
      <c r="G44" s="2468">
        <v>1</v>
      </c>
      <c r="H44" s="1290"/>
      <c r="I44" s="1290"/>
      <c r="J44" s="1290"/>
      <c r="K44" s="1290"/>
      <c r="L44" s="1291"/>
      <c r="M44" s="1292"/>
      <c r="N44" s="1292"/>
      <c r="O44" s="1292"/>
      <c r="P44" s="291"/>
      <c r="Q44" s="289"/>
      <c r="R44" s="290"/>
      <c r="S44" s="1420" t="str">
        <f>INDEX(PT_DIFFERENTIATION_NUM_CS,MATCH(C44,PT_DIFFERENTIATION_CS_ID,0))</f>
        <v>..</v>
      </c>
      <c r="T44" s="247" t="s">
        <v>539</v>
      </c>
      <c r="U44" s="238"/>
      <c r="V44" s="2462"/>
      <c r="W44" s="2463"/>
      <c r="X44" s="2463"/>
      <c r="Y44" s="2463"/>
      <c r="Z44" s="2463"/>
      <c r="AA44" s="2463"/>
      <c r="AB44" s="2463"/>
      <c r="AC44" s="2463"/>
      <c r="AD44" s="2463"/>
      <c r="AE44" s="2463"/>
      <c r="AF44" s="2464"/>
      <c r="AG44" s="2462" t="str">
        <f>INDEX(PT_DIFFERENTIATION_CS,MATCH(C44,PT_DIFFERENTIATION_CS_ID,0))</f>
        <v/>
      </c>
      <c r="AH44" s="2463"/>
      <c r="AI44" s="2463"/>
      <c r="AJ44" s="2463"/>
      <c r="AK44" s="2463"/>
      <c r="AL44" s="2463"/>
      <c r="AM44" s="2463"/>
      <c r="AN44" s="2463"/>
      <c r="AO44" s="2463"/>
      <c r="AP44" s="2463"/>
      <c r="AQ44" s="2463"/>
      <c r="AR44" s="2464"/>
      <c r="AS44" s="1185" t="s">
        <v>540</v>
      </c>
      <c r="AU44" s="437"/>
      <c r="AV44" s="437" t="str">
        <f t="shared" si="1"/>
        <v>Наименование централизованной системы горячего водоснабжения</v>
      </c>
      <c r="AW44" s="437"/>
      <c r="AX44" s="437"/>
      <c r="AY44" s="1082">
        <v>23</v>
      </c>
    </row>
    <row r="45" spans="1:51" ht="24" customHeight="1">
      <c r="A45" s="1290" t="s">
        <v>263</v>
      </c>
      <c r="B45" s="1290" t="s">
        <v>264</v>
      </c>
      <c r="C45" s="1290" t="s">
        <v>265</v>
      </c>
      <c r="D45" s="1290" t="s">
        <v>552</v>
      </c>
      <c r="E45" s="2469"/>
      <c r="F45" s="2469"/>
      <c r="G45" s="2469"/>
      <c r="H45" s="2469"/>
      <c r="I45" s="2470" t="str">
        <f>S44&amp;".1"</f>
        <v>...1</v>
      </c>
      <c r="J45" s="1290"/>
      <c r="K45" s="1290"/>
      <c r="L45" s="1291"/>
      <c r="P45" s="2472">
        <v>1</v>
      </c>
      <c r="Q45" s="1408"/>
      <c r="R45" s="293"/>
      <c r="S45" s="1420" t="str">
        <f>$I45</f>
        <v>...1</v>
      </c>
      <c r="T45" s="223" t="s">
        <v>492</v>
      </c>
      <c r="U45" s="238"/>
      <c r="V45" s="2549"/>
      <c r="W45" s="2550"/>
      <c r="X45" s="2550"/>
      <c r="Y45" s="2550"/>
      <c r="Z45" s="2550"/>
      <c r="AA45" s="2550"/>
      <c r="AB45" s="2550"/>
      <c r="AC45" s="2550"/>
      <c r="AD45" s="2550"/>
      <c r="AE45" s="2550"/>
      <c r="AF45" s="2551"/>
      <c r="AG45" s="2552"/>
      <c r="AH45" s="2553"/>
      <c r="AI45" s="2553"/>
      <c r="AJ45" s="2553"/>
      <c r="AK45" s="2553"/>
      <c r="AL45" s="2553"/>
      <c r="AM45" s="2553"/>
      <c r="AN45" s="2553"/>
      <c r="AO45" s="2553"/>
      <c r="AP45" s="2553"/>
      <c r="AQ45" s="2553"/>
      <c r="AR45" s="2554"/>
      <c r="AS45" s="1185" t="s">
        <v>493</v>
      </c>
      <c r="AU45" s="437"/>
      <c r="AV45" s="437" t="str">
        <f t="shared" si="1"/>
        <v>Наименование признака дифференциации</v>
      </c>
      <c r="AW45" s="437"/>
      <c r="AX45" s="437"/>
      <c r="AY45" s="1082">
        <v>23</v>
      </c>
    </row>
    <row r="46" spans="1:51" ht="24" customHeight="1">
      <c r="A46" s="1290" t="s">
        <v>263</v>
      </c>
      <c r="B46" s="1290" t="s">
        <v>264</v>
      </c>
      <c r="C46" s="1290" t="s">
        <v>265</v>
      </c>
      <c r="D46" s="1290" t="s">
        <v>552</v>
      </c>
      <c r="E46" s="2469"/>
      <c r="F46" s="2469"/>
      <c r="G46" s="2469"/>
      <c r="H46" s="2469"/>
      <c r="I46" s="2471"/>
      <c r="J46" s="2470" t="str">
        <f>I45&amp;".1"</f>
        <v>...1.1</v>
      </c>
      <c r="K46" s="1290"/>
      <c r="L46" s="1291" t="s">
        <v>413</v>
      </c>
      <c r="P46" s="2472"/>
      <c r="Q46" s="2472">
        <v>1</v>
      </c>
      <c r="R46" s="294"/>
      <c r="S46" s="1420" t="str">
        <f>$J46</f>
        <v>...1.1</v>
      </c>
      <c r="T46" s="224" t="s">
        <v>414</v>
      </c>
      <c r="U46" s="238"/>
      <c r="V46" s="2456"/>
      <c r="W46" s="2457"/>
      <c r="X46" s="2457"/>
      <c r="Y46" s="2457"/>
      <c r="Z46" s="2457"/>
      <c r="AA46" s="2457"/>
      <c r="AB46" s="2457"/>
      <c r="AC46" s="2457"/>
      <c r="AD46" s="2457"/>
      <c r="AE46" s="2457"/>
      <c r="AF46" s="2458"/>
      <c r="AG46" s="2456"/>
      <c r="AH46" s="2457"/>
      <c r="AI46" s="2457"/>
      <c r="AJ46" s="2457"/>
      <c r="AK46" s="2457"/>
      <c r="AL46" s="2457"/>
      <c r="AM46" s="2457"/>
      <c r="AN46" s="2457"/>
      <c r="AO46" s="2457"/>
      <c r="AP46" s="2457"/>
      <c r="AQ46" s="2457"/>
      <c r="AR46" s="2458"/>
      <c r="AS46" s="1234" t="s">
        <v>494</v>
      </c>
      <c r="AU46" s="437"/>
      <c r="AV46" s="437" t="str">
        <f t="shared" si="1"/>
        <v>Группа потребителей</v>
      </c>
      <c r="AW46" s="437"/>
      <c r="AX46" s="437"/>
      <c r="AY46" s="1082">
        <v>23</v>
      </c>
    </row>
    <row r="47" spans="1:51" ht="24" customHeight="1">
      <c r="A47" s="1290" t="s">
        <v>263</v>
      </c>
      <c r="B47" s="1290" t="s">
        <v>264</v>
      </c>
      <c r="C47" s="1290" t="s">
        <v>265</v>
      </c>
      <c r="D47" s="1290" t="s">
        <v>552</v>
      </c>
      <c r="E47" s="2469"/>
      <c r="F47" s="2469"/>
      <c r="G47" s="2469"/>
      <c r="H47" s="2469"/>
      <c r="I47" s="2471"/>
      <c r="J47" s="2471"/>
      <c r="K47" s="2470" t="str">
        <f>J46&amp;".1"</f>
        <v>...1.1.1</v>
      </c>
      <c r="L47" s="1291"/>
      <c r="P47" s="2472"/>
      <c r="Q47" s="2472"/>
      <c r="R47" s="294">
        <v>1</v>
      </c>
      <c r="S47" s="1420" t="str">
        <f>$K47</f>
        <v>...1.1.1</v>
      </c>
      <c r="T47" s="1364"/>
      <c r="U47" s="238"/>
      <c r="V47" s="1287"/>
      <c r="W47" s="1287"/>
      <c r="X47" s="1287"/>
      <c r="Y47" s="1287"/>
      <c r="Z47" s="1287"/>
      <c r="AA47" s="1287"/>
      <c r="AB47" s="1288"/>
      <c r="AC47" s="2466"/>
      <c r="AD47" s="2465" t="s">
        <v>67</v>
      </c>
      <c r="AE47" s="2466"/>
      <c r="AF47" s="2465" t="s">
        <v>67</v>
      </c>
      <c r="AG47" s="688"/>
      <c r="AH47" s="688"/>
      <c r="AI47" s="688"/>
      <c r="AJ47" s="688"/>
      <c r="AK47" s="688"/>
      <c r="AL47" s="688"/>
      <c r="AM47" s="1184"/>
      <c r="AN47" s="2473"/>
      <c r="AO47" s="2342" t="s">
        <v>67</v>
      </c>
      <c r="AP47" s="2475"/>
      <c r="AQ47" s="2342" t="s">
        <v>19</v>
      </c>
      <c r="AR47" s="1365"/>
      <c r="AS47" s="25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263</v>
      </c>
      <c r="B48" s="1290" t="s">
        <v>264</v>
      </c>
      <c r="C48" s="1290" t="s">
        <v>265</v>
      </c>
      <c r="D48" s="1290" t="s">
        <v>552</v>
      </c>
      <c r="E48" s="2469"/>
      <c r="F48" s="2469"/>
      <c r="G48" s="2469"/>
      <c r="H48" s="2469"/>
      <c r="I48" s="2471"/>
      <c r="J48" s="2471"/>
      <c r="K48" s="2470"/>
      <c r="L48" s="1291"/>
      <c r="P48" s="2472"/>
      <c r="Q48" s="2472"/>
      <c r="R48" s="294"/>
      <c r="S48" s="1417"/>
      <c r="T48" s="238"/>
      <c r="U48" s="238"/>
      <c r="V48" s="1287"/>
      <c r="W48" s="1287"/>
      <c r="X48" s="1287"/>
      <c r="Y48" s="1287"/>
      <c r="Z48" s="1287"/>
      <c r="AA48" s="1287"/>
      <c r="AB48" s="266" t="str">
        <f>AC47&amp;"-"&amp;AE47</f>
        <v>-</v>
      </c>
      <c r="AC48" s="2465"/>
      <c r="AD48" s="2465"/>
      <c r="AE48" s="2465"/>
      <c r="AF48" s="2465"/>
      <c r="AG48" s="263"/>
      <c r="AH48" s="263"/>
      <c r="AI48" s="263"/>
      <c r="AJ48" s="263"/>
      <c r="AK48" s="263"/>
      <c r="AL48" s="263"/>
      <c r="AM48" s="266" t="str">
        <f>AN47&amp;"-"&amp;AP47</f>
        <v>-</v>
      </c>
      <c r="AN48" s="2474"/>
      <c r="AO48" s="2342"/>
      <c r="AP48" s="2476"/>
      <c r="AQ48" s="2342"/>
      <c r="AR48" s="1366"/>
      <c r="AS48" s="2555"/>
      <c r="AU48" s="437"/>
      <c r="AV48" s="437" t="str">
        <f t="shared" si="1"/>
        <v/>
      </c>
      <c r="AW48" s="437"/>
      <c r="AX48" s="437"/>
      <c r="AY48" s="1082">
        <v>0</v>
      </c>
    </row>
    <row r="49" spans="1:51" ht="21" customHeight="1">
      <c r="A49" s="1290" t="s">
        <v>263</v>
      </c>
      <c r="B49" s="1290" t="s">
        <v>264</v>
      </c>
      <c r="C49" s="1290" t="s">
        <v>265</v>
      </c>
      <c r="D49" s="1290" t="s">
        <v>552</v>
      </c>
      <c r="E49" s="2469"/>
      <c r="F49" s="2469"/>
      <c r="G49" s="2469"/>
      <c r="H49" s="2469"/>
      <c r="I49" s="2471"/>
      <c r="J49" s="2470"/>
      <c r="K49" s="1290"/>
      <c r="L49" s="1291"/>
      <c r="P49" s="2472"/>
      <c r="Q49" s="2472"/>
      <c r="R49" s="293"/>
      <c r="S49" s="1205"/>
      <c r="T49" s="225" t="s">
        <v>495</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496</v>
      </c>
      <c r="AU49" s="437"/>
      <c r="AV49" s="437" t="str">
        <f t="shared" si="1"/>
        <v>Добавить значение признака дифференциации</v>
      </c>
      <c r="AW49" s="437"/>
      <c r="AX49" s="437"/>
      <c r="AY49" s="1082">
        <v>20</v>
      </c>
    </row>
    <row r="50" spans="1:51" ht="21.95" customHeight="1">
      <c r="A50" s="1290" t="s">
        <v>263</v>
      </c>
      <c r="B50" s="1290" t="s">
        <v>264</v>
      </c>
      <c r="C50" s="1290" t="s">
        <v>265</v>
      </c>
      <c r="D50" s="1290" t="s">
        <v>552</v>
      </c>
      <c r="E50" s="2469"/>
      <c r="F50" s="2469"/>
      <c r="G50" s="2469"/>
      <c r="H50" s="2469"/>
      <c r="I50" s="2470"/>
      <c r="J50" s="1290"/>
      <c r="K50" s="1290"/>
      <c r="L50" s="1291"/>
      <c r="P50" s="2472"/>
      <c r="Q50" s="1408"/>
      <c r="R50" s="293"/>
      <c r="S50" s="1205"/>
      <c r="T50" s="302" t="s">
        <v>419</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263</v>
      </c>
      <c r="B51" s="1290" t="s">
        <v>264</v>
      </c>
      <c r="C51" s="1290" t="s">
        <v>265</v>
      </c>
      <c r="D51" s="1290" t="s">
        <v>552</v>
      </c>
      <c r="E51" s="2469"/>
      <c r="F51" s="2469"/>
      <c r="G51" s="2469"/>
      <c r="H51" s="2468"/>
      <c r="I51" s="1290"/>
      <c r="J51" s="1290"/>
      <c r="K51" s="1290"/>
      <c r="L51" s="1291"/>
      <c r="M51" s="1292"/>
      <c r="N51" s="1292"/>
      <c r="O51" s="474"/>
      <c r="P51" s="297"/>
      <c r="Q51" s="312"/>
      <c r="R51" s="292"/>
      <c r="S51" s="1205"/>
      <c r="T51" s="309" t="s">
        <v>497</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263</v>
      </c>
      <c r="B52" s="1270" t="s">
        <v>264</v>
      </c>
      <c r="C52" s="1241"/>
      <c r="D52" s="1241"/>
      <c r="E52" s="2469"/>
      <c r="F52" s="2468"/>
      <c r="G52" s="1241"/>
      <c r="H52" s="1241"/>
      <c r="I52" s="1241"/>
      <c r="J52" s="1241"/>
      <c r="K52" s="1241"/>
      <c r="L52" s="1421"/>
      <c r="M52" s="1248"/>
      <c r="N52" s="1248"/>
      <c r="P52" s="1243"/>
      <c r="Q52" s="1244"/>
      <c r="R52" s="1243"/>
      <c r="S52" s="1249"/>
      <c r="T52" s="1252" t="s">
        <v>170</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263</v>
      </c>
      <c r="B53" s="1270"/>
      <c r="C53" s="1270"/>
      <c r="D53" s="1270"/>
      <c r="E53" s="2468"/>
      <c r="F53" s="1270"/>
      <c r="G53" s="1270"/>
      <c r="H53" s="1270"/>
      <c r="I53" s="1270"/>
      <c r="J53" s="1270"/>
      <c r="K53" s="1270"/>
      <c r="L53" s="1273"/>
      <c r="M53" s="1248"/>
      <c r="N53" s="1248"/>
      <c r="O53" s="455"/>
      <c r="P53" s="317"/>
      <c r="Q53" s="1271"/>
      <c r="R53" s="317"/>
      <c r="S53" s="1249"/>
      <c r="T53" s="1252" t="s">
        <v>171</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172</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467"/>
      <c r="U56" s="2467"/>
      <c r="V56" s="2467"/>
      <c r="W56" s="2467"/>
      <c r="X56" s="2467"/>
      <c r="Y56" s="2467"/>
      <c r="Z56" s="2467"/>
      <c r="AA56" s="2467"/>
      <c r="AB56" s="2467"/>
      <c r="AC56" s="2467"/>
      <c r="AD56" s="2467"/>
      <c r="AE56" s="2467"/>
      <c r="AF56" s="2467"/>
      <c r="AG56" s="2467"/>
      <c r="AH56" s="2467"/>
      <c r="AI56" s="2467"/>
      <c r="AJ56" s="2467"/>
      <c r="AK56" s="2467"/>
      <c r="AL56" s="2467"/>
      <c r="AM56" s="2467"/>
      <c r="AN56" s="2467"/>
      <c r="AO56" s="2467"/>
      <c r="AP56" s="2467"/>
      <c r="AQ56" s="2467"/>
      <c r="AR56" s="2467"/>
      <c r="AS56" s="2467"/>
      <c r="AY56" s="1082">
        <v>14</v>
      </c>
    </row>
    <row r="57" spans="1:51" ht="14.65" customHeight="1">
      <c r="O57" s="474"/>
      <c r="AY57" s="1082">
        <v>14</v>
      </c>
    </row>
    <row r="58" spans="1:51" ht="14.65" customHeight="1">
      <c r="O58" s="474"/>
      <c r="S58" s="1180"/>
      <c r="T58" s="2467"/>
      <c r="U58" s="2467"/>
      <c r="V58" s="2467"/>
      <c r="W58" s="2467"/>
      <c r="X58" s="2467"/>
      <c r="Y58" s="2467"/>
      <c r="Z58" s="2467"/>
      <c r="AA58" s="2467"/>
      <c r="AB58" s="2467"/>
      <c r="AC58" s="2467"/>
      <c r="AD58" s="2467"/>
      <c r="AE58" s="2467"/>
      <c r="AF58" s="2467"/>
      <c r="AG58" s="2467"/>
      <c r="AH58" s="2467"/>
      <c r="AI58" s="2467"/>
      <c r="AJ58" s="2467"/>
      <c r="AK58" s="2467"/>
      <c r="AL58" s="2467"/>
      <c r="AM58" s="2467"/>
      <c r="AN58" s="2467"/>
      <c r="AO58" s="2467"/>
      <c r="AP58" s="2467"/>
      <c r="AQ58" s="2467"/>
      <c r="AR58" s="2467"/>
      <c r="AS58" s="2467"/>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4782A-5551-376A-A309-740FBA4E8AA4}">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9"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468">
        <v>1</v>
      </c>
      <c r="F2" s="1290"/>
      <c r="G2" s="1290"/>
      <c r="H2" s="1290"/>
      <c r="I2" s="1290"/>
      <c r="J2" s="1290"/>
      <c r="K2" s="1290"/>
      <c r="L2" s="1291"/>
      <c r="M2" s="1292"/>
      <c r="N2" s="1292"/>
      <c r="O2" s="1292"/>
      <c r="P2" s="1336"/>
      <c r="Q2" s="804"/>
      <c r="R2" s="292"/>
      <c r="S2" s="1420" t="e">
        <f>INDEX(PT_DIFFERENTIATION_NUM_NTAR,MATCH(A2,PT_DIFFERENTIATION_NTAR_ID,0))</f>
        <v>#N/A</v>
      </c>
      <c r="T2" s="236" t="s">
        <v>124</v>
      </c>
      <c r="U2" s="238"/>
      <c r="V2" s="2463"/>
      <c r="W2" s="2463"/>
      <c r="X2" s="2463"/>
      <c r="Y2" s="2463"/>
      <c r="Z2" s="2463"/>
      <c r="AA2" s="2463"/>
      <c r="AB2" s="2463"/>
      <c r="AC2" s="2464"/>
      <c r="AD2" s="2462" t="e">
        <f>INDEX(PT_DIFFERENTIATION_NTAR,MATCH(A2,PT_DIFFERENTIATION_NTAR_ID,0))</f>
        <v>#N/A</v>
      </c>
      <c r="AE2" s="2463"/>
      <c r="AF2" s="2463"/>
      <c r="AG2" s="2463"/>
      <c r="AH2" s="2463"/>
      <c r="AI2" s="2463"/>
      <c r="AJ2" s="2463"/>
      <c r="AK2" s="2463"/>
      <c r="AL2" s="2463"/>
      <c r="AM2" s="2463"/>
      <c r="AN2" s="2463"/>
      <c r="AO2" s="2463"/>
      <c r="AP2" s="2463"/>
      <c r="AQ2" s="2463"/>
      <c r="AR2" s="2463"/>
      <c r="AS2" s="2463"/>
      <c r="AT2" s="2463"/>
      <c r="AU2" s="2463"/>
      <c r="AV2" s="2463"/>
      <c r="AW2" s="2463"/>
      <c r="AX2" s="2463"/>
      <c r="AY2" s="2463"/>
      <c r="AZ2" s="2463"/>
      <c r="BA2" s="2463"/>
      <c r="BB2" s="2464"/>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469"/>
      <c r="F3" s="2468">
        <v>1</v>
      </c>
      <c r="G3" s="1290"/>
      <c r="H3" s="1290"/>
      <c r="I3" s="1290"/>
      <c r="J3" s="1290"/>
      <c r="K3" s="1290"/>
      <c r="L3" s="1291"/>
      <c r="M3" s="1292"/>
      <c r="N3" s="1292"/>
      <c r="O3" s="1292"/>
      <c r="P3" s="1337"/>
      <c r="Q3" s="1338"/>
      <c r="R3" s="290"/>
      <c r="S3" s="1420" t="e">
        <f>INDEX(PT_DIFFERENTIATION_NUM_TER,MATCH(B3,PT_DIFFERENTIATION_TER_ID,0))</f>
        <v>#N/A</v>
      </c>
      <c r="T3" s="246" t="s">
        <v>404</v>
      </c>
      <c r="U3" s="238"/>
      <c r="V3" s="2463"/>
      <c r="W3" s="2463"/>
      <c r="X3" s="2463"/>
      <c r="Y3" s="2463"/>
      <c r="Z3" s="2463"/>
      <c r="AA3" s="2463"/>
      <c r="AB3" s="2463"/>
      <c r="AC3" s="2464"/>
      <c r="AD3" s="2462" t="e">
        <f>INDEX(PT_DIFFERENTIATION_TER,MATCH(B3,PT_DIFFERENTIATION_TER_ID,0))</f>
        <v>#N/A</v>
      </c>
      <c r="AE3" s="2463"/>
      <c r="AF3" s="2463"/>
      <c r="AG3" s="2463"/>
      <c r="AH3" s="2463"/>
      <c r="AI3" s="2463"/>
      <c r="AJ3" s="2463"/>
      <c r="AK3" s="2463"/>
      <c r="AL3" s="2463"/>
      <c r="AM3" s="2463"/>
      <c r="AN3" s="2463"/>
      <c r="AO3" s="2463"/>
      <c r="AP3" s="2463"/>
      <c r="AQ3" s="2463"/>
      <c r="AR3" s="2463"/>
      <c r="AS3" s="2463"/>
      <c r="AT3" s="2463"/>
      <c r="AU3" s="2463"/>
      <c r="AV3" s="2463"/>
      <c r="AW3" s="2463"/>
      <c r="AX3" s="2463"/>
      <c r="AY3" s="2463"/>
      <c r="AZ3" s="2463"/>
      <c r="BA3" s="2463"/>
      <c r="BB3" s="2464"/>
      <c r="BC3" s="1185" t="s">
        <v>405</v>
      </c>
      <c r="BE3" s="437"/>
      <c r="BF3" s="437" t="str">
        <f t="shared" si="0"/>
        <v>Территория действия тарифа</v>
      </c>
      <c r="BG3" s="437"/>
      <c r="BH3" s="437"/>
      <c r="BI3" s="1082">
        <v>0</v>
      </c>
    </row>
    <row r="4" spans="1:61" ht="33.75" hidden="1" customHeight="1">
      <c r="A4" s="1290"/>
      <c r="B4" s="1290"/>
      <c r="C4" s="1290"/>
      <c r="D4" s="1290"/>
      <c r="E4" s="2469"/>
      <c r="F4" s="2469"/>
      <c r="G4" s="2468">
        <v>1</v>
      </c>
      <c r="H4" s="1290"/>
      <c r="I4" s="1290"/>
      <c r="J4" s="1290"/>
      <c r="K4" s="1290"/>
      <c r="L4" s="1291"/>
      <c r="M4" s="1292"/>
      <c r="N4" s="1292"/>
      <c r="O4" s="1292"/>
      <c r="P4" s="1339"/>
      <c r="Q4" s="1338"/>
      <c r="R4" s="290"/>
      <c r="S4" s="1420" t="e">
        <f>INDEX(PT_DIFFERENTIATION_NUM_CS,MATCH(C4,PT_DIFFERENTIATION_CS_ID,0))</f>
        <v>#N/A</v>
      </c>
      <c r="T4" s="247" t="s">
        <v>539</v>
      </c>
      <c r="U4" s="238"/>
      <c r="V4" s="2463"/>
      <c r="W4" s="2463"/>
      <c r="X4" s="2463"/>
      <c r="Y4" s="2463"/>
      <c r="Z4" s="2463"/>
      <c r="AA4" s="2463"/>
      <c r="AB4" s="2463"/>
      <c r="AC4" s="2464"/>
      <c r="AD4" s="2462" t="e">
        <f>INDEX(PT_DIFFERENTIATION_CS,MATCH(C4,PT_DIFFERENTIATION_CS_ID,0))</f>
        <v>#N/A</v>
      </c>
      <c r="AE4" s="2463"/>
      <c r="AF4" s="2463"/>
      <c r="AG4" s="2463"/>
      <c r="AH4" s="2463"/>
      <c r="AI4" s="2463"/>
      <c r="AJ4" s="2463"/>
      <c r="AK4" s="2463"/>
      <c r="AL4" s="2463"/>
      <c r="AM4" s="2463"/>
      <c r="AN4" s="2463"/>
      <c r="AO4" s="2463"/>
      <c r="AP4" s="2463"/>
      <c r="AQ4" s="2463"/>
      <c r="AR4" s="2463"/>
      <c r="AS4" s="2463"/>
      <c r="AT4" s="2463"/>
      <c r="AU4" s="2463"/>
      <c r="AV4" s="2463"/>
      <c r="AW4" s="2463"/>
      <c r="AX4" s="2463"/>
      <c r="AY4" s="2463"/>
      <c r="AZ4" s="2463"/>
      <c r="BA4" s="2463"/>
      <c r="BB4" s="2464"/>
      <c r="BC4" s="1185" t="s">
        <v>540</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469"/>
      <c r="F5" s="2469"/>
      <c r="G5" s="2469"/>
      <c r="H5" s="2468">
        <v>1</v>
      </c>
      <c r="I5" s="1270"/>
      <c r="J5" s="1270"/>
      <c r="K5" s="1270"/>
      <c r="L5" s="1273"/>
      <c r="M5" s="1242"/>
      <c r="N5" s="1242"/>
      <c r="O5" s="1242"/>
      <c r="P5" s="1424"/>
      <c r="Q5" s="1425"/>
      <c r="R5" s="294"/>
      <c r="S5" s="972"/>
      <c r="T5" s="1426"/>
      <c r="U5" s="1311"/>
      <c r="V5" s="2510"/>
      <c r="W5" s="2510"/>
      <c r="X5" s="2510"/>
      <c r="Y5" s="2510"/>
      <c r="Z5" s="2510"/>
      <c r="AA5" s="2510"/>
      <c r="AB5" s="2510"/>
      <c r="AC5" s="2511"/>
      <c r="AD5" s="2509"/>
      <c r="AE5" s="2510"/>
      <c r="AF5" s="2510"/>
      <c r="AG5" s="2510"/>
      <c r="AH5" s="2510"/>
      <c r="AI5" s="2510"/>
      <c r="AJ5" s="2510"/>
      <c r="AK5" s="2510"/>
      <c r="AL5" s="2510"/>
      <c r="AM5" s="2510"/>
      <c r="AN5" s="2510"/>
      <c r="AO5" s="2510"/>
      <c r="AP5" s="2510"/>
      <c r="AQ5" s="2510"/>
      <c r="AR5" s="2510"/>
      <c r="AS5" s="2510"/>
      <c r="AT5" s="2510"/>
      <c r="AU5" s="2510"/>
      <c r="AV5" s="2510"/>
      <c r="AW5" s="2510"/>
      <c r="AX5" s="2510"/>
      <c r="AY5" s="2510"/>
      <c r="AZ5" s="2510"/>
      <c r="BA5" s="2510"/>
      <c r="BB5" s="2511"/>
      <c r="BC5" s="1312" t="s">
        <v>409</v>
      </c>
      <c r="BE5" s="437"/>
      <c r="BF5" s="437" t="str">
        <f t="shared" si="0"/>
        <v/>
      </c>
      <c r="BG5" s="437"/>
      <c r="BH5" s="437"/>
      <c r="BI5" s="448">
        <v>0</v>
      </c>
    </row>
    <row r="6" spans="1:61" s="1569" customFormat="1" ht="14.25" hidden="1" customHeight="1">
      <c r="A6" s="1270"/>
      <c r="B6" s="1270"/>
      <c r="C6" s="1270"/>
      <c r="D6" s="1270"/>
      <c r="E6" s="2469"/>
      <c r="F6" s="2469"/>
      <c r="G6" s="2469"/>
      <c r="H6" s="2469"/>
      <c r="I6" s="2470" t="str">
        <f>S5&amp;".1"</f>
        <v>.1</v>
      </c>
      <c r="J6" s="1270"/>
      <c r="K6" s="1270"/>
      <c r="L6" s="1273" t="s">
        <v>410</v>
      </c>
      <c r="M6" s="447"/>
      <c r="N6" s="447"/>
      <c r="O6" s="447"/>
      <c r="P6" s="2472">
        <v>1</v>
      </c>
      <c r="Q6" s="1408"/>
      <c r="R6" s="293"/>
      <c r="S6" s="972"/>
      <c r="T6" s="1310"/>
      <c r="U6" s="1311"/>
      <c r="V6" s="2510"/>
      <c r="W6" s="2510"/>
      <c r="X6" s="2510"/>
      <c r="Y6" s="2510"/>
      <c r="Z6" s="2510"/>
      <c r="AA6" s="2510"/>
      <c r="AB6" s="2510"/>
      <c r="AC6" s="2511"/>
      <c r="AD6" s="2509"/>
      <c r="AE6" s="2510"/>
      <c r="AF6" s="2510"/>
      <c r="AG6" s="2510"/>
      <c r="AH6" s="2510"/>
      <c r="AI6" s="2510"/>
      <c r="AJ6" s="2510"/>
      <c r="AK6" s="2510"/>
      <c r="AL6" s="2510"/>
      <c r="AM6" s="2510"/>
      <c r="AN6" s="2510"/>
      <c r="AO6" s="2510"/>
      <c r="AP6" s="2510"/>
      <c r="AQ6" s="2510"/>
      <c r="AR6" s="2510"/>
      <c r="AS6" s="2510"/>
      <c r="AT6" s="2510"/>
      <c r="AU6" s="2510"/>
      <c r="AV6" s="2510"/>
      <c r="AW6" s="2510"/>
      <c r="AX6" s="2510"/>
      <c r="AY6" s="2510"/>
      <c r="AZ6" s="2510"/>
      <c r="BA6" s="2510"/>
      <c r="BB6" s="2511"/>
      <c r="BC6" s="1312"/>
      <c r="BE6" s="437"/>
      <c r="BF6" s="437" t="str">
        <f t="shared" si="0"/>
        <v/>
      </c>
      <c r="BG6" s="437"/>
      <c r="BH6" s="437"/>
      <c r="BI6" s="448">
        <v>0</v>
      </c>
    </row>
    <row r="7" spans="1:61" s="1569" customFormat="1" ht="14.25" hidden="1" customHeight="1">
      <c r="A7" s="1270"/>
      <c r="B7" s="1270"/>
      <c r="C7" s="1270"/>
      <c r="D7" s="1270"/>
      <c r="E7" s="2469"/>
      <c r="F7" s="2469"/>
      <c r="G7" s="2469"/>
      <c r="H7" s="2469"/>
      <c r="I7" s="2471"/>
      <c r="J7" s="2470" t="str">
        <f>S5&amp;".1"</f>
        <v>.1</v>
      </c>
      <c r="K7" s="1270"/>
      <c r="L7" s="1273"/>
      <c r="M7" s="447"/>
      <c r="N7" s="447"/>
      <c r="O7" s="447"/>
      <c r="P7" s="2472"/>
      <c r="Q7" s="2472">
        <v>1</v>
      </c>
      <c r="R7" s="294"/>
      <c r="S7" s="972"/>
      <c r="T7" s="1326"/>
      <c r="U7" s="1311"/>
      <c r="V7" s="2510"/>
      <c r="W7" s="2510"/>
      <c r="X7" s="2510"/>
      <c r="Y7" s="2510"/>
      <c r="Z7" s="2510"/>
      <c r="AA7" s="2510"/>
      <c r="AB7" s="2510"/>
      <c r="AC7" s="2511"/>
      <c r="AD7" s="2509"/>
      <c r="AE7" s="2510"/>
      <c r="AF7" s="2510"/>
      <c r="AG7" s="2510"/>
      <c r="AH7" s="2510"/>
      <c r="AI7" s="2510"/>
      <c r="AJ7" s="2510"/>
      <c r="AK7" s="2510"/>
      <c r="AL7" s="2510"/>
      <c r="AM7" s="2510"/>
      <c r="AN7" s="2510"/>
      <c r="AO7" s="2510"/>
      <c r="AP7" s="2510"/>
      <c r="AQ7" s="2510"/>
      <c r="AR7" s="2510"/>
      <c r="AS7" s="2510"/>
      <c r="AT7" s="2510"/>
      <c r="AU7" s="2510"/>
      <c r="AV7" s="2510"/>
      <c r="AW7" s="2510"/>
      <c r="AX7" s="2510"/>
      <c r="AY7" s="2510"/>
      <c r="AZ7" s="2510"/>
      <c r="BA7" s="2510"/>
      <c r="BB7" s="2511"/>
      <c r="BC7" s="1312"/>
      <c r="BE7" s="437"/>
      <c r="BF7" s="437" t="str">
        <f t="shared" si="0"/>
        <v/>
      </c>
      <c r="BG7" s="437"/>
      <c r="BH7" s="437"/>
      <c r="BI7" s="448">
        <v>0</v>
      </c>
    </row>
    <row r="8" spans="1:61" ht="11.25" hidden="1" customHeight="1">
      <c r="A8" s="1290"/>
      <c r="B8" s="1290"/>
      <c r="C8" s="1290"/>
      <c r="D8" s="1290"/>
      <c r="E8" s="2469"/>
      <c r="F8" s="2469"/>
      <c r="G8" s="2469"/>
      <c r="H8" s="2469"/>
      <c r="I8" s="2471"/>
      <c r="J8" s="2471"/>
      <c r="K8" s="2470" t="e">
        <f>S4&amp;".1"</f>
        <v>#N/A</v>
      </c>
      <c r="L8" s="1291"/>
      <c r="P8" s="2472"/>
      <c r="Q8" s="2472"/>
      <c r="R8" s="2541">
        <v>1</v>
      </c>
      <c r="S8" s="2538" t="e">
        <f>$K8</f>
        <v>#N/A</v>
      </c>
      <c r="T8" s="2558"/>
      <c r="U8" s="238"/>
      <c r="V8" s="688"/>
      <c r="W8" s="1184"/>
      <c r="X8" s="688"/>
      <c r="Y8" s="1184"/>
      <c r="Z8" s="1660"/>
      <c r="AA8" s="1396" t="s">
        <v>67</v>
      </c>
      <c r="AB8" s="1660"/>
      <c r="AC8" s="1396" t="s">
        <v>67</v>
      </c>
      <c r="AD8" s="2392" t="s">
        <v>67</v>
      </c>
      <c r="AE8" s="2534"/>
      <c r="AF8" s="2425">
        <v>1</v>
      </c>
      <c r="AG8" s="2557"/>
      <c r="AH8" s="2342" t="s">
        <v>67</v>
      </c>
      <c r="AI8" s="2534"/>
      <c r="AJ8" s="2425">
        <v>1</v>
      </c>
      <c r="AK8" s="2548" t="s">
        <v>28</v>
      </c>
      <c r="AL8" s="2342" t="s">
        <v>67</v>
      </c>
      <c r="AM8" s="2402"/>
      <c r="AN8" s="2425">
        <v>1</v>
      </c>
      <c r="AO8" s="2561"/>
      <c r="AP8" s="2562" t="s">
        <v>67</v>
      </c>
      <c r="AQ8" s="249"/>
      <c r="AR8" s="1413">
        <v>1</v>
      </c>
      <c r="AS8" s="1419" t="s">
        <v>28</v>
      </c>
      <c r="AT8" s="688"/>
      <c r="AU8" s="1184"/>
      <c r="AV8" s="688"/>
      <c r="AW8" s="1184"/>
      <c r="AX8" s="1660"/>
      <c r="AY8" s="1396" t="s">
        <v>67</v>
      </c>
      <c r="AZ8" s="1660"/>
      <c r="BA8" s="1396" t="s">
        <v>67</v>
      </c>
      <c r="BB8" s="1275"/>
      <c r="BC8" s="2491" t="s">
        <v>510</v>
      </c>
      <c r="BE8" s="437"/>
      <c r="BF8" s="437" t="str">
        <f t="shared" si="0"/>
        <v/>
      </c>
      <c r="BG8" s="437"/>
      <c r="BH8" s="437"/>
      <c r="BI8" s="1082">
        <v>0</v>
      </c>
    </row>
    <row r="9" spans="1:61" ht="11.25" hidden="1" customHeight="1">
      <c r="A9" s="1290"/>
      <c r="B9" s="1290"/>
      <c r="C9" s="1290"/>
      <c r="D9" s="1290"/>
      <c r="E9" s="2469"/>
      <c r="F9" s="2469"/>
      <c r="G9" s="2469"/>
      <c r="H9" s="2469"/>
      <c r="I9" s="2471"/>
      <c r="J9" s="2471"/>
      <c r="K9" s="2470"/>
      <c r="L9" s="1291"/>
      <c r="P9" s="2472"/>
      <c r="Q9" s="2472"/>
      <c r="R9" s="2541"/>
      <c r="S9" s="2539"/>
      <c r="T9" s="2559"/>
      <c r="U9" s="238"/>
      <c r="V9" s="1320"/>
      <c r="W9" s="1423"/>
      <c r="X9" s="1320"/>
      <c r="Y9" s="1423"/>
      <c r="Z9" s="1320"/>
      <c r="AA9" s="1320"/>
      <c r="AB9" s="1320"/>
      <c r="AC9" s="1320"/>
      <c r="AD9" s="2393"/>
      <c r="AE9" s="2534"/>
      <c r="AF9" s="2425"/>
      <c r="AG9" s="2557"/>
      <c r="AH9" s="2342"/>
      <c r="AI9" s="2534"/>
      <c r="AJ9" s="2425"/>
      <c r="AK9" s="2548"/>
      <c r="AL9" s="2342"/>
      <c r="AM9" s="2407"/>
      <c r="AN9" s="2425"/>
      <c r="AO9" s="2561"/>
      <c r="AP9" s="2563"/>
      <c r="AQ9" s="254"/>
      <c r="AR9" s="353"/>
      <c r="AS9" s="353" t="s">
        <v>511</v>
      </c>
      <c r="AT9" s="1320"/>
      <c r="AU9" s="1423"/>
      <c r="AV9" s="1320"/>
      <c r="AW9" s="1423"/>
      <c r="AX9" s="1320"/>
      <c r="AY9" s="1320"/>
      <c r="AZ9" s="1320"/>
      <c r="BA9" s="1320"/>
      <c r="BB9" s="1324"/>
      <c r="BC9" s="2492"/>
      <c r="BE9" s="437"/>
      <c r="BF9" s="437"/>
      <c r="BG9" s="437"/>
      <c r="BH9" s="437"/>
      <c r="BI9" s="1082">
        <v>0</v>
      </c>
    </row>
    <row r="10" spans="1:61" ht="11.25" hidden="1" customHeight="1">
      <c r="A10" s="1290"/>
      <c r="B10" s="1290"/>
      <c r="C10" s="1290"/>
      <c r="D10" s="1290"/>
      <c r="E10" s="2469"/>
      <c r="F10" s="2469"/>
      <c r="G10" s="2469"/>
      <c r="H10" s="2469"/>
      <c r="I10" s="2471"/>
      <c r="J10" s="2471"/>
      <c r="K10" s="2470"/>
      <c r="L10" s="1291"/>
      <c r="P10" s="2472"/>
      <c r="Q10" s="2472"/>
      <c r="R10" s="2541"/>
      <c r="S10" s="2539"/>
      <c r="T10" s="2559"/>
      <c r="U10" s="238"/>
      <c r="V10" s="1320"/>
      <c r="W10" s="1423"/>
      <c r="X10" s="1320"/>
      <c r="Y10" s="1423"/>
      <c r="Z10" s="1320"/>
      <c r="AA10" s="1320"/>
      <c r="AB10" s="1320"/>
      <c r="AC10" s="1320"/>
      <c r="AD10" s="2393"/>
      <c r="AE10" s="2534"/>
      <c r="AF10" s="2425"/>
      <c r="AG10" s="2557"/>
      <c r="AH10" s="2342"/>
      <c r="AI10" s="2534"/>
      <c r="AJ10" s="2425"/>
      <c r="AK10" s="2548"/>
      <c r="AL10" s="2342"/>
      <c r="AM10" s="254"/>
      <c r="AN10" s="1427"/>
      <c r="AO10" s="1427" t="s">
        <v>512</v>
      </c>
      <c r="AP10" s="353"/>
      <c r="AQ10" s="353"/>
      <c r="AR10" s="353"/>
      <c r="AS10" s="1320"/>
      <c r="AT10" s="1320"/>
      <c r="AU10" s="1423"/>
      <c r="AV10" s="1320"/>
      <c r="AW10" s="1423"/>
      <c r="AX10" s="1320"/>
      <c r="AY10" s="1320"/>
      <c r="AZ10" s="1320"/>
      <c r="BA10" s="1320"/>
      <c r="BB10" s="1324"/>
      <c r="BC10" s="2492"/>
      <c r="BE10" s="437"/>
      <c r="BF10" s="437"/>
      <c r="BG10" s="437"/>
      <c r="BH10" s="437"/>
      <c r="BI10" s="1082">
        <v>0</v>
      </c>
    </row>
    <row r="11" spans="1:61" ht="11.25" hidden="1" customHeight="1">
      <c r="A11" s="1290"/>
      <c r="B11" s="1290"/>
      <c r="C11" s="1290"/>
      <c r="D11" s="1290"/>
      <c r="E11" s="2469"/>
      <c r="F11" s="2469"/>
      <c r="G11" s="2469"/>
      <c r="H11" s="2469"/>
      <c r="I11" s="2471"/>
      <c r="J11" s="2471"/>
      <c r="K11" s="2470"/>
      <c r="L11" s="1291"/>
      <c r="P11" s="2472"/>
      <c r="Q11" s="2472"/>
      <c r="R11" s="2541"/>
      <c r="S11" s="2539"/>
      <c r="T11" s="2559"/>
      <c r="U11" s="238"/>
      <c r="V11" s="1320"/>
      <c r="W11" s="1423"/>
      <c r="X11" s="1320"/>
      <c r="Y11" s="1423"/>
      <c r="Z11" s="1320"/>
      <c r="AA11" s="1320"/>
      <c r="AB11" s="1320"/>
      <c r="AC11" s="1320"/>
      <c r="AD11" s="2393"/>
      <c r="AE11" s="2534"/>
      <c r="AF11" s="2425"/>
      <c r="AG11" s="2557"/>
      <c r="AH11" s="2342"/>
      <c r="AI11" s="232"/>
      <c r="AJ11" s="352"/>
      <c r="AK11" s="251" t="s">
        <v>513</v>
      </c>
      <c r="AL11" s="1320"/>
      <c r="AM11" s="1320"/>
      <c r="AN11" s="1320"/>
      <c r="AO11" s="1320"/>
      <c r="AP11" s="1320"/>
      <c r="AQ11" s="1320"/>
      <c r="AR11" s="1320"/>
      <c r="AS11" s="1320"/>
      <c r="AT11" s="1320"/>
      <c r="AU11" s="1423"/>
      <c r="AV11" s="1320"/>
      <c r="AW11" s="1423"/>
      <c r="AX11" s="1320"/>
      <c r="AY11" s="1320"/>
      <c r="AZ11" s="1320"/>
      <c r="BA11" s="1320"/>
      <c r="BB11" s="1324"/>
      <c r="BC11" s="2492"/>
      <c r="BE11" s="437"/>
      <c r="BF11" s="437"/>
      <c r="BG11" s="437"/>
      <c r="BH11" s="437"/>
      <c r="BI11" s="1082">
        <v>0</v>
      </c>
    </row>
    <row r="12" spans="1:61" ht="11.25" hidden="1" customHeight="1">
      <c r="A12" s="1290"/>
      <c r="B12" s="1290"/>
      <c r="C12" s="1290"/>
      <c r="D12" s="1290"/>
      <c r="E12" s="2469"/>
      <c r="F12" s="2469"/>
      <c r="G12" s="2469"/>
      <c r="H12" s="2469"/>
      <c r="I12" s="2471"/>
      <c r="J12" s="2471"/>
      <c r="K12" s="2470"/>
      <c r="L12" s="1291"/>
      <c r="P12" s="2472"/>
      <c r="Q12" s="2472"/>
      <c r="R12" s="2541"/>
      <c r="S12" s="2540"/>
      <c r="T12" s="2560"/>
      <c r="U12" s="238"/>
      <c r="V12" s="1320"/>
      <c r="W12" s="1321" t="str">
        <f>Z8&amp;"-"&amp;AB8</f>
        <v>-</v>
      </c>
      <c r="X12" s="1320"/>
      <c r="Y12" s="1321" t="str">
        <f>AB8&amp;"-"&amp;AD8</f>
        <v>-да</v>
      </c>
      <c r="Z12" s="1320"/>
      <c r="AA12" s="1320"/>
      <c r="AB12" s="1320"/>
      <c r="AC12" s="1320"/>
      <c r="AD12" s="2347"/>
      <c r="AE12" s="250"/>
      <c r="AF12" s="252"/>
      <c r="AG12" s="353" t="s">
        <v>514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492"/>
      <c r="BE12" s="437"/>
      <c r="BF12" s="437" t="str">
        <f t="shared" ref="BF12:BF18" si="1">IF(T12="","",T12)</f>
        <v/>
      </c>
      <c r="BG12" s="437"/>
      <c r="BH12" s="437"/>
      <c r="BI12" s="1082">
        <v>0</v>
      </c>
    </row>
    <row r="13" spans="1:61" ht="11.25" hidden="1" customHeight="1">
      <c r="A13" s="1290"/>
      <c r="B13" s="1290"/>
      <c r="C13" s="1290"/>
      <c r="D13" s="1290"/>
      <c r="E13" s="2469"/>
      <c r="F13" s="2469"/>
      <c r="G13" s="2469"/>
      <c r="H13" s="2469"/>
      <c r="I13" s="2471"/>
      <c r="J13" s="2470"/>
      <c r="K13" s="1290"/>
      <c r="L13" s="1291"/>
      <c r="P13" s="2472"/>
      <c r="Q13" s="2472"/>
      <c r="R13" s="293"/>
      <c r="S13" s="1205"/>
      <c r="T13" s="225" t="s">
        <v>477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493"/>
      <c r="BE13" s="437"/>
      <c r="BF13" s="437" t="str">
        <f t="shared" si="1"/>
        <v>Добавить строку</v>
      </c>
      <c r="BG13" s="437"/>
      <c r="BH13" s="437"/>
      <c r="BI13" s="1082">
        <v>0</v>
      </c>
    </row>
    <row r="14" spans="1:61" s="1569" customFormat="1" ht="14.25" hidden="1" customHeight="1">
      <c r="A14" s="1270"/>
      <c r="B14" s="1270"/>
      <c r="C14" s="1270"/>
      <c r="D14" s="1270"/>
      <c r="E14" s="2469"/>
      <c r="F14" s="2469"/>
      <c r="G14" s="2469"/>
      <c r="H14" s="2469"/>
      <c r="I14" s="2470"/>
      <c r="J14" s="1270"/>
      <c r="K14" s="1270"/>
      <c r="L14" s="1273"/>
      <c r="M14" s="447"/>
      <c r="N14" s="447"/>
      <c r="O14" s="447"/>
      <c r="P14" s="2472"/>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469"/>
      <c r="F15" s="2469"/>
      <c r="G15" s="2469"/>
      <c r="H15" s="2468"/>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469"/>
      <c r="F16" s="2469"/>
      <c r="G16" s="2468"/>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469"/>
      <c r="F17" s="2468"/>
      <c r="G17" s="1241"/>
      <c r="H17" s="1241"/>
      <c r="I17" s="1241"/>
      <c r="J17" s="1241"/>
      <c r="K17" s="1241"/>
      <c r="L17" s="1421"/>
      <c r="M17" s="1248"/>
      <c r="N17" s="1248"/>
      <c r="P17" s="1243"/>
      <c r="Q17" s="1244"/>
      <c r="R17" s="1243"/>
      <c r="S17" s="1249"/>
      <c r="T17" s="1252" t="s">
        <v>170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468"/>
      <c r="F18" s="1270"/>
      <c r="G18" s="1270"/>
      <c r="H18" s="1270"/>
      <c r="I18" s="1270"/>
      <c r="J18" s="1270"/>
      <c r="K18" s="1270"/>
      <c r="L18" s="1273"/>
      <c r="M18" s="1248"/>
      <c r="N18" s="1248"/>
      <c r="O18" s="455"/>
      <c r="P18" s="317"/>
      <c r="Q18" s="1271"/>
      <c r="R18" s="317"/>
      <c r="S18" s="1249"/>
      <c r="T18" s="1252" t="s">
        <v>171</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67</v>
      </c>
      <c r="AZ20" s="1662"/>
      <c r="BA20" s="1412" t="s">
        <v>67</v>
      </c>
      <c r="BI20" s="1082">
        <v>0</v>
      </c>
    </row>
    <row r="21" spans="1:61" ht="14.25" hidden="1" customHeight="1">
      <c r="BD21" s="433"/>
      <c r="BE21" s="433"/>
      <c r="BF21" s="433"/>
      <c r="BG21" s="433"/>
      <c r="BH21" s="433"/>
      <c r="BI21" s="1082">
        <v>0</v>
      </c>
    </row>
    <row r="22" spans="1:61" ht="14.25" hidden="1" customHeight="1">
      <c r="O22" s="1294" t="s">
        <v>421</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422</v>
      </c>
      <c r="P24" s="1435"/>
      <c r="Q24" s="1437"/>
      <c r="R24" s="1437"/>
      <c r="AA24" s="1434" t="s">
        <v>424</v>
      </c>
      <c r="AC24" s="1434" t="s">
        <v>425</v>
      </c>
      <c r="AD24" s="1434" t="s">
        <v>478</v>
      </c>
      <c r="AH24" s="1434" t="s">
        <v>478</v>
      </c>
      <c r="AK24" s="1434" t="s">
        <v>515</v>
      </c>
      <c r="AL24" s="1434" t="s">
        <v>478</v>
      </c>
      <c r="AP24" s="1434" t="s">
        <v>478</v>
      </c>
      <c r="AY24" s="1434" t="s">
        <v>424</v>
      </c>
      <c r="BA24" s="1434" t="s">
        <v>425</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4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49"/>
      <c r="U28" s="2449"/>
      <c r="V28" s="2449"/>
      <c r="W28" s="2449"/>
      <c r="X28" s="2449"/>
      <c r="Y28" s="2449"/>
      <c r="Z28" s="2449"/>
      <c r="AA28" s="2449"/>
      <c r="AB28" s="2449"/>
      <c r="AC28" s="2449"/>
      <c r="AD28" s="2449"/>
      <c r="AE28" s="2449"/>
      <c r="AF28" s="2449"/>
      <c r="AG28" s="2449"/>
      <c r="AH28" s="2449"/>
      <c r="AI28" s="2449"/>
      <c r="AJ28" s="2449"/>
      <c r="AK28" s="2449"/>
      <c r="AL28" s="2449"/>
      <c r="AM28" s="2449"/>
      <c r="AN28" s="2449"/>
      <c r="AO28" s="2449"/>
      <c r="AP28" s="2449"/>
      <c r="AQ28" s="2449"/>
      <c r="AR28" s="2449"/>
      <c r="AS28" s="2449"/>
      <c r="AT28" s="2449"/>
      <c r="AU28" s="2449"/>
      <c r="AV28" s="2449"/>
      <c r="AW28" s="2449"/>
      <c r="AX28" s="2449"/>
      <c r="AY28" s="2449"/>
      <c r="AZ28" s="2449"/>
      <c r="BA28" s="1170"/>
      <c r="BI28" s="1082">
        <v>14</v>
      </c>
    </row>
    <row r="29" spans="1:61" ht="14.65" customHeight="1">
      <c r="Q29" s="229"/>
      <c r="R29" s="313"/>
      <c r="S29" s="2421" t="str">
        <f>IF(org=0,"Не определено",org)</f>
        <v>МУП "Городские тепловые сети" МО  "город Курчатов"</v>
      </c>
      <c r="T29" s="2421"/>
      <c r="U29" s="2421"/>
      <c r="V29" s="2421"/>
      <c r="W29" s="2421"/>
      <c r="X29" s="2421"/>
      <c r="Y29" s="2421"/>
      <c r="Z29" s="2421"/>
      <c r="AA29" s="2421"/>
      <c r="AB29" s="2421"/>
      <c r="AC29" s="2421"/>
      <c r="AD29" s="2421"/>
      <c r="AE29" s="2421"/>
      <c r="AF29" s="2421"/>
      <c r="AG29" s="2421"/>
      <c r="AH29" s="2421"/>
      <c r="AI29" s="2421"/>
      <c r="AJ29" s="2421"/>
      <c r="AK29" s="2421"/>
      <c r="AL29" s="2421"/>
      <c r="AM29" s="2421"/>
      <c r="AN29" s="2421"/>
      <c r="AO29" s="2421"/>
      <c r="AP29" s="2421"/>
      <c r="AQ29" s="2421"/>
      <c r="AR29" s="2421"/>
      <c r="AS29" s="2421"/>
      <c r="AT29" s="2421"/>
      <c r="AU29" s="2421"/>
      <c r="AV29" s="2421"/>
      <c r="AW29" s="2421"/>
      <c r="AX29" s="2421"/>
      <c r="AY29" s="2421"/>
      <c r="AZ29" s="2421"/>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459" t="s">
        <v>42</v>
      </c>
      <c r="T31" s="2459"/>
      <c r="U31" s="1299"/>
      <c r="V31" s="2461" t="str">
        <f>IF(TITLE_NAME_OR_PR_CHANGE="",IF(TITLE_NAME_OR_PR="","",TITLE_NAME_OR_PR),TITLE_NAME_OR_PR_CHANGE)</f>
        <v/>
      </c>
      <c r="W31" s="2461"/>
      <c r="X31" s="2461"/>
      <c r="Y31" s="2461"/>
      <c r="Z31" s="2461"/>
      <c r="AA31" s="2461"/>
      <c r="AB31" s="2461"/>
      <c r="AC31" s="264"/>
      <c r="AD31" s="2461" t="str">
        <f>IF(TITLE_NAME_OR_PR_CHANGE="",IF(TITLE_NAME_OR_PR="","",TITLE_NAME_OR_PR),TITLE_NAME_OR_PR_CHANGE)</f>
        <v/>
      </c>
      <c r="AE31" s="2461"/>
      <c r="AF31" s="2461"/>
      <c r="AG31" s="2461"/>
      <c r="AH31" s="2461"/>
      <c r="AI31" s="2461"/>
      <c r="AJ31" s="2461"/>
      <c r="AK31" s="2461"/>
      <c r="AL31" s="2461"/>
      <c r="AM31" s="2461"/>
      <c r="AN31" s="2461"/>
      <c r="AO31" s="2461"/>
      <c r="AP31" s="2461"/>
      <c r="AQ31" s="2461"/>
      <c r="AR31" s="2461"/>
      <c r="AS31" s="2461"/>
      <c r="AT31" s="2461"/>
      <c r="AU31" s="2461"/>
      <c r="AV31" s="2461"/>
      <c r="AW31" s="2461"/>
      <c r="AX31" s="2461"/>
      <c r="AY31" s="2461"/>
      <c r="AZ31" s="2461"/>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459" t="s">
        <v>427</v>
      </c>
      <c r="T32" s="2459"/>
      <c r="U32" s="1299"/>
      <c r="V32" s="2460">
        <f>IF(TITLE_DATE_PR_CHANGE="",IF(TITLE_DATE_PR="","",TITLE_DATE_PR),TITLE_DATE_PR_CHANGE)</f>
        <v>45775</v>
      </c>
      <c r="W32" s="2460"/>
      <c r="X32" s="2460"/>
      <c r="Y32" s="2460"/>
      <c r="Z32" s="2460"/>
      <c r="AA32" s="2460"/>
      <c r="AB32" s="2460"/>
      <c r="AC32" s="264"/>
      <c r="AD32" s="2460">
        <f>IF(TITLE_DATE_PR_CHANGE="",IF(TITLE_DATE_PR="","",TITLE_DATE_PR),TITLE_DATE_PR_CHANGE)</f>
        <v>45775</v>
      </c>
      <c r="AE32" s="2460"/>
      <c r="AF32" s="2460"/>
      <c r="AG32" s="2460"/>
      <c r="AH32" s="2460"/>
      <c r="AI32" s="2460"/>
      <c r="AJ32" s="2460"/>
      <c r="AK32" s="2460"/>
      <c r="AL32" s="2460"/>
      <c r="AM32" s="2460"/>
      <c r="AN32" s="2460"/>
      <c r="AO32" s="2460"/>
      <c r="AP32" s="2460"/>
      <c r="AQ32" s="2460"/>
      <c r="AR32" s="2460"/>
      <c r="AS32" s="2460"/>
      <c r="AT32" s="2460"/>
      <c r="AU32" s="2460"/>
      <c r="AV32" s="2460"/>
      <c r="AW32" s="2460"/>
      <c r="AX32" s="2460"/>
      <c r="AY32" s="2460"/>
      <c r="AZ32" s="2460"/>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459" t="s">
        <v>428</v>
      </c>
      <c r="T33" s="2459"/>
      <c r="U33" s="1299"/>
      <c r="V33" s="2461" t="str">
        <f>IF(TITLE_NUMBER_PR_CHANGE="",IF(TITLE_NUMBER_PR="","",TITLE_NUMBER_PR),TITLE_NUMBER_PR_CHANGE)</f>
        <v>03.5-1382</v>
      </c>
      <c r="W33" s="2461"/>
      <c r="X33" s="2461"/>
      <c r="Y33" s="2461"/>
      <c r="Z33" s="2461"/>
      <c r="AA33" s="2461"/>
      <c r="AB33" s="2461"/>
      <c r="AC33" s="264"/>
      <c r="AD33" s="2461" t="str">
        <f>IF(TITLE_NUMBER_PR_CHANGE="",IF(TITLE_NUMBER_PR="","",TITLE_NUMBER_PR),TITLE_NUMBER_PR_CHANGE)</f>
        <v>03.5-1382</v>
      </c>
      <c r="AE33" s="2461"/>
      <c r="AF33" s="2461"/>
      <c r="AG33" s="2461"/>
      <c r="AH33" s="2461"/>
      <c r="AI33" s="2461"/>
      <c r="AJ33" s="2461"/>
      <c r="AK33" s="2461"/>
      <c r="AL33" s="2461"/>
      <c r="AM33" s="2461"/>
      <c r="AN33" s="2461"/>
      <c r="AO33" s="2461"/>
      <c r="AP33" s="2461"/>
      <c r="AQ33" s="2461"/>
      <c r="AR33" s="2461"/>
      <c r="AS33" s="2461"/>
      <c r="AT33" s="2461"/>
      <c r="AU33" s="2461"/>
      <c r="AV33" s="2461"/>
      <c r="AW33" s="2461"/>
      <c r="AX33" s="2461"/>
      <c r="AY33" s="2461"/>
      <c r="AZ33" s="2461"/>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459" t="s">
        <v>43</v>
      </c>
      <c r="T34" s="2459"/>
      <c r="U34" s="1299"/>
      <c r="V34" s="2461" t="str">
        <f>IF(TITLE_IST_PUB_CHANGE="",IF(TITLE_IST_PUB="","",TITLE_IST_PUB),TITLE_IST_PUB_CHANGE)</f>
        <v/>
      </c>
      <c r="W34" s="2461"/>
      <c r="X34" s="2461"/>
      <c r="Y34" s="2461"/>
      <c r="Z34" s="2461"/>
      <c r="AA34" s="2461"/>
      <c r="AB34" s="2461"/>
      <c r="AC34" s="264"/>
      <c r="AD34" s="2461" t="str">
        <f>IF(TITLE_IST_PUB_CHANGE="",IF(TITLE_IST_PUB="","",TITLE_IST_PUB),TITLE_IST_PUB_CHANGE)</f>
        <v/>
      </c>
      <c r="AE34" s="2461"/>
      <c r="AF34" s="2461"/>
      <c r="AG34" s="2461"/>
      <c r="AH34" s="2461"/>
      <c r="AI34" s="2461"/>
      <c r="AJ34" s="2461"/>
      <c r="AK34" s="2461"/>
      <c r="AL34" s="2461"/>
      <c r="AM34" s="2461"/>
      <c r="AN34" s="2461"/>
      <c r="AO34" s="2461"/>
      <c r="AP34" s="2461"/>
      <c r="AQ34" s="2461"/>
      <c r="AR34" s="2461"/>
      <c r="AS34" s="2461"/>
      <c r="AT34" s="2461"/>
      <c r="AU34" s="2461"/>
      <c r="AV34" s="2461"/>
      <c r="AW34" s="2461"/>
      <c r="AX34" s="2461"/>
      <c r="AY34" s="2461"/>
      <c r="AZ34" s="2461"/>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459" t="s">
        <v>427</v>
      </c>
      <c r="T36" s="2459"/>
      <c r="U36" s="1299"/>
      <c r="V36" s="2460">
        <f>IF(TITLE_DATE_PR_CHANGE="",IF(TITLE_DATE_PR="","",TITLE_DATE_PR),TITLE_DATE_PR_CHANGE)</f>
        <v>45775</v>
      </c>
      <c r="W36" s="2460"/>
      <c r="X36" s="2460"/>
      <c r="Y36" s="2460"/>
      <c r="Z36" s="2460"/>
      <c r="AA36" s="2460"/>
      <c r="AB36" s="2460"/>
      <c r="AC36" s="264"/>
      <c r="AD36" s="2460">
        <f>IF(TITLE_DATE_PR_CHANGE="",IF(TITLE_DATE_PR="","",TITLE_DATE_PR),TITLE_DATE_PR_CHANGE)</f>
        <v>45775</v>
      </c>
      <c r="AE36" s="2460"/>
      <c r="AF36" s="2460"/>
      <c r="AG36" s="2460"/>
      <c r="AH36" s="2460"/>
      <c r="AI36" s="2460"/>
      <c r="AJ36" s="2460"/>
      <c r="AK36" s="2460"/>
      <c r="AL36" s="2460"/>
      <c r="AM36" s="2460"/>
      <c r="AN36" s="2460"/>
      <c r="AO36" s="2460"/>
      <c r="AP36" s="2460"/>
      <c r="AQ36" s="2460"/>
      <c r="AR36" s="2460"/>
      <c r="AS36" s="2460"/>
      <c r="AT36" s="2460"/>
      <c r="AU36" s="2460"/>
      <c r="AV36" s="2460"/>
      <c r="AW36" s="2460"/>
      <c r="AX36" s="2460"/>
      <c r="AY36" s="2460"/>
      <c r="AZ36" s="2460"/>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459" t="s">
        <v>428</v>
      </c>
      <c r="T37" s="2459"/>
      <c r="U37" s="1299"/>
      <c r="V37" s="2461" t="str">
        <f>IF(TITLE_NUMBER_PR_CHANGE="",IF(TITLE_NUMBER_PR="","",TITLE_NUMBER_PR),TITLE_NUMBER_PR_CHANGE)</f>
        <v>03.5-1382</v>
      </c>
      <c r="W37" s="2461"/>
      <c r="X37" s="2461"/>
      <c r="Y37" s="2461"/>
      <c r="Z37" s="2461"/>
      <c r="AA37" s="2461"/>
      <c r="AB37" s="2461"/>
      <c r="AC37" s="264"/>
      <c r="AD37" s="2461" t="str">
        <f>IF(TITLE_NUMBER_PR_CHANGE="",IF(TITLE_NUMBER_PR="","",TITLE_NUMBER_PR),TITLE_NUMBER_PR_CHANGE)</f>
        <v>03.5-1382</v>
      </c>
      <c r="AE37" s="2461"/>
      <c r="AF37" s="2461"/>
      <c r="AG37" s="2461"/>
      <c r="AH37" s="2461"/>
      <c r="AI37" s="2461"/>
      <c r="AJ37" s="2461"/>
      <c r="AK37" s="2461"/>
      <c r="AL37" s="2461"/>
      <c r="AM37" s="2461"/>
      <c r="AN37" s="2461"/>
      <c r="AO37" s="2461"/>
      <c r="AP37" s="2461"/>
      <c r="AQ37" s="2461"/>
      <c r="AR37" s="2461"/>
      <c r="AS37" s="2461"/>
      <c r="AT37" s="2461"/>
      <c r="AU37" s="2461"/>
      <c r="AV37" s="2461"/>
      <c r="AW37" s="2461"/>
      <c r="AX37" s="2461"/>
      <c r="AY37" s="2461"/>
      <c r="AZ37" s="2461"/>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431</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431</v>
      </c>
      <c r="BD38" s="305"/>
      <c r="BE38" s="305"/>
      <c r="BF38" s="305"/>
      <c r="BG38" s="305"/>
      <c r="BH38" s="305"/>
      <c r="BI38" s="355">
        <v>0</v>
      </c>
    </row>
    <row r="39" spans="1:61" ht="14.65" customHeight="1">
      <c r="Q39" s="229"/>
      <c r="R39" s="313"/>
      <c r="S39" s="1202"/>
      <c r="T39" s="300"/>
      <c r="U39" s="1171"/>
      <c r="V39" s="2480"/>
      <c r="W39" s="2480"/>
      <c r="X39" s="2480"/>
      <c r="Y39" s="2480"/>
      <c r="Z39" s="2480"/>
      <c r="AA39" s="2480"/>
      <c r="AB39" s="2480"/>
      <c r="AC39" s="2480"/>
      <c r="AD39" s="2480"/>
      <c r="AE39" s="2480"/>
      <c r="AF39" s="2480"/>
      <c r="AG39" s="2480"/>
      <c r="AH39" s="2480"/>
      <c r="AI39" s="2480"/>
      <c r="AJ39" s="2480"/>
      <c r="AK39" s="2480"/>
      <c r="AL39" s="2480"/>
      <c r="AM39" s="2480"/>
      <c r="AN39" s="2480"/>
      <c r="AO39" s="2480"/>
      <c r="AP39" s="2480"/>
      <c r="AQ39" s="2480"/>
      <c r="AR39" s="2480"/>
      <c r="AS39" s="2480"/>
      <c r="AT39" s="2480"/>
      <c r="AU39" s="2480"/>
      <c r="AV39" s="2480"/>
      <c r="AW39" s="2480"/>
      <c r="AX39" s="2480"/>
      <c r="AY39" s="2480"/>
      <c r="AZ39" s="2480"/>
      <c r="BA39" s="2480"/>
      <c r="BI39" s="1082">
        <v>14</v>
      </c>
    </row>
    <row r="40" spans="1:61" ht="14.65" customHeight="1">
      <c r="Q40" s="229"/>
      <c r="R40" s="313"/>
      <c r="S40" s="2332" t="s">
        <v>307</v>
      </c>
      <c r="T40" s="2332"/>
      <c r="U40" s="2332"/>
      <c r="V40" s="2332"/>
      <c r="W40" s="2332"/>
      <c r="X40" s="2332"/>
      <c r="Y40" s="2332"/>
      <c r="Z40" s="2332"/>
      <c r="AA40" s="2332"/>
      <c r="AB40" s="2332"/>
      <c r="AC40" s="2332"/>
      <c r="AD40" s="2332"/>
      <c r="AE40" s="2332"/>
      <c r="AF40" s="2332"/>
      <c r="AG40" s="2332"/>
      <c r="AH40" s="2332"/>
      <c r="AI40" s="2332"/>
      <c r="AJ40" s="2332"/>
      <c r="AK40" s="2332"/>
      <c r="AL40" s="2332"/>
      <c r="AM40" s="2332"/>
      <c r="AN40" s="2332"/>
      <c r="AO40" s="2332"/>
      <c r="AP40" s="2332"/>
      <c r="AQ40" s="2332"/>
      <c r="AR40" s="2332"/>
      <c r="AS40" s="2332"/>
      <c r="AT40" s="2332"/>
      <c r="AU40" s="2332"/>
      <c r="AV40" s="2332"/>
      <c r="AW40" s="2332"/>
      <c r="AX40" s="2332"/>
      <c r="AY40" s="2332"/>
      <c r="AZ40" s="2332"/>
      <c r="BA40" s="2332"/>
      <c r="BB40" s="2332"/>
      <c r="BC40" s="2332" t="s">
        <v>308</v>
      </c>
      <c r="BI40" s="1082">
        <v>14</v>
      </c>
    </row>
    <row r="41" spans="1:61" ht="14.65" customHeight="1">
      <c r="Q41" s="229"/>
      <c r="R41" s="313"/>
      <c r="S41" s="2481" t="s">
        <v>89</v>
      </c>
      <c r="T41" s="2429" t="s">
        <v>516</v>
      </c>
      <c r="U41" s="239"/>
      <c r="V41" s="2482" t="s">
        <v>433</v>
      </c>
      <c r="W41" s="2483"/>
      <c r="X41" s="2483"/>
      <c r="Y41" s="2483"/>
      <c r="Z41" s="2483"/>
      <c r="AA41" s="2483"/>
      <c r="AB41" s="2484"/>
      <c r="AC41" s="2485" t="s">
        <v>434</v>
      </c>
      <c r="AD41" s="2527" t="s">
        <v>517</v>
      </c>
      <c r="AE41" s="2508"/>
      <c r="AF41" s="2508"/>
      <c r="AG41" s="2528"/>
      <c r="AH41" s="2527" t="s">
        <v>518</v>
      </c>
      <c r="AI41" s="2508"/>
      <c r="AJ41" s="2508"/>
      <c r="AK41" s="2528"/>
      <c r="AL41" s="2527" t="s">
        <v>519</v>
      </c>
      <c r="AM41" s="2508"/>
      <c r="AN41" s="2508"/>
      <c r="AO41" s="2528"/>
      <c r="AP41" s="2527" t="s">
        <v>520</v>
      </c>
      <c r="AQ41" s="2508"/>
      <c r="AR41" s="2508"/>
      <c r="AS41" s="2528"/>
      <c r="AT41" s="2482" t="s">
        <v>433</v>
      </c>
      <c r="AU41" s="2483"/>
      <c r="AV41" s="2483"/>
      <c r="AW41" s="2483"/>
      <c r="AX41" s="2483"/>
      <c r="AY41" s="2483"/>
      <c r="AZ41" s="2484"/>
      <c r="BA41" s="2485" t="s">
        <v>434</v>
      </c>
      <c r="BB41" s="2488" t="s">
        <v>436</v>
      </c>
      <c r="BC41" s="2332"/>
      <c r="BI41" s="1082">
        <v>14</v>
      </c>
    </row>
    <row r="42" spans="1:61" ht="35.65" customHeight="1">
      <c r="Q42" s="229"/>
      <c r="R42" s="313"/>
      <c r="S42" s="2481"/>
      <c r="T42" s="2429"/>
      <c r="U42" s="961"/>
      <c r="V42" s="2402" t="s">
        <v>521</v>
      </c>
      <c r="W42" s="2403"/>
      <c r="X42" s="2402" t="s">
        <v>522</v>
      </c>
      <c r="Y42" s="2403"/>
      <c r="Z42" s="2402" t="s">
        <v>523</v>
      </c>
      <c r="AA42" s="2520"/>
      <c r="AB42" s="2403"/>
      <c r="AC42" s="2486"/>
      <c r="AD42" s="2529"/>
      <c r="AE42" s="2530"/>
      <c r="AF42" s="2530"/>
      <c r="AG42" s="2542"/>
      <c r="AH42" s="2529"/>
      <c r="AI42" s="2530"/>
      <c r="AJ42" s="2530"/>
      <c r="AK42" s="2542"/>
      <c r="AL42" s="2529"/>
      <c r="AM42" s="2530"/>
      <c r="AN42" s="2530"/>
      <c r="AO42" s="2542"/>
      <c r="AP42" s="2529"/>
      <c r="AQ42" s="2530"/>
      <c r="AR42" s="2530"/>
      <c r="AS42" s="2542"/>
      <c r="AT42" s="2402" t="s">
        <v>521</v>
      </c>
      <c r="AU42" s="2403"/>
      <c r="AV42" s="2402" t="s">
        <v>522</v>
      </c>
      <c r="AW42" s="2403"/>
      <c r="AX42" s="2402" t="s">
        <v>523</v>
      </c>
      <c r="AY42" s="2520"/>
      <c r="AZ42" s="2403"/>
      <c r="BA42" s="2486"/>
      <c r="BB42" s="2489"/>
      <c r="BC42" s="2332"/>
      <c r="BI42" s="1082">
        <v>34</v>
      </c>
    </row>
    <row r="43" spans="1:61" ht="14.65" customHeight="1">
      <c r="Q43" s="229"/>
      <c r="R43" s="313"/>
      <c r="S43" s="2481"/>
      <c r="T43" s="2429"/>
      <c r="U43" s="961"/>
      <c r="V43" s="2407"/>
      <c r="W43" s="2408"/>
      <c r="X43" s="2407"/>
      <c r="Y43" s="2408"/>
      <c r="Z43" s="2407"/>
      <c r="AA43" s="2521"/>
      <c r="AB43" s="2408"/>
      <c r="AC43" s="2486"/>
      <c r="AD43" s="2529"/>
      <c r="AE43" s="2530"/>
      <c r="AF43" s="2530"/>
      <c r="AG43" s="2542"/>
      <c r="AH43" s="2529"/>
      <c r="AI43" s="2530"/>
      <c r="AJ43" s="2530"/>
      <c r="AK43" s="2542"/>
      <c r="AL43" s="2529"/>
      <c r="AM43" s="2530"/>
      <c r="AN43" s="2530"/>
      <c r="AO43" s="2542"/>
      <c r="AP43" s="2529"/>
      <c r="AQ43" s="2530"/>
      <c r="AR43" s="2530"/>
      <c r="AS43" s="2542"/>
      <c r="AT43" s="2407"/>
      <c r="AU43" s="2408"/>
      <c r="AV43" s="2407"/>
      <c r="AW43" s="2408"/>
      <c r="AX43" s="2407"/>
      <c r="AY43" s="2521"/>
      <c r="AZ43" s="2408"/>
      <c r="BA43" s="2486"/>
      <c r="BB43" s="2489"/>
      <c r="BC43" s="2332"/>
      <c r="BI43" s="1082">
        <v>14</v>
      </c>
    </row>
    <row r="44" spans="1:61" ht="14.65" customHeight="1">
      <c r="A44" s="1297"/>
      <c r="B44" s="1297" t="s">
        <v>136</v>
      </c>
      <c r="C44" s="1297" t="s">
        <v>137</v>
      </c>
      <c r="D44" s="1297" t="s">
        <v>138</v>
      </c>
      <c r="E44" s="1291" t="s">
        <v>441</v>
      </c>
      <c r="F44" s="1291" t="s">
        <v>442</v>
      </c>
      <c r="G44" s="1291" t="s">
        <v>443</v>
      </c>
      <c r="H44" s="1291" t="s">
        <v>444</v>
      </c>
      <c r="I44" s="1291" t="s">
        <v>445</v>
      </c>
      <c r="J44" s="1291" t="s">
        <v>446</v>
      </c>
      <c r="K44" s="1291" t="s">
        <v>447</v>
      </c>
      <c r="L44" s="1291" t="s">
        <v>422</v>
      </c>
      <c r="Q44" s="229"/>
      <c r="R44" s="313"/>
      <c r="S44" s="2481"/>
      <c r="T44" s="2429"/>
      <c r="U44" s="240"/>
      <c r="V44" s="1406" t="s">
        <v>487</v>
      </c>
      <c r="W44" s="1406" t="s">
        <v>488</v>
      </c>
      <c r="X44" s="1406" t="s">
        <v>487</v>
      </c>
      <c r="Y44" s="1406" t="s">
        <v>488</v>
      </c>
      <c r="Z44" s="1416" t="s">
        <v>450</v>
      </c>
      <c r="AA44" s="2434" t="s">
        <v>451</v>
      </c>
      <c r="AB44" s="2448"/>
      <c r="AC44" s="2487"/>
      <c r="AD44" s="2531"/>
      <c r="AE44" s="2532"/>
      <c r="AF44" s="2532"/>
      <c r="AG44" s="2533"/>
      <c r="AH44" s="2531"/>
      <c r="AI44" s="2532"/>
      <c r="AJ44" s="2532"/>
      <c r="AK44" s="2533"/>
      <c r="AL44" s="2531"/>
      <c r="AM44" s="2532"/>
      <c r="AN44" s="2532"/>
      <c r="AO44" s="2533"/>
      <c r="AP44" s="2531"/>
      <c r="AQ44" s="2532"/>
      <c r="AR44" s="2532"/>
      <c r="AS44" s="2533"/>
      <c r="AT44" s="1406" t="s">
        <v>487</v>
      </c>
      <c r="AU44" s="1406" t="s">
        <v>488</v>
      </c>
      <c r="AV44" s="1406" t="s">
        <v>487</v>
      </c>
      <c r="AW44" s="1406" t="s">
        <v>488</v>
      </c>
      <c r="AX44" s="1416" t="s">
        <v>450</v>
      </c>
      <c r="AY44" s="2434" t="s">
        <v>451</v>
      </c>
      <c r="AZ44" s="2448"/>
      <c r="BA44" s="2487"/>
      <c r="BB44" s="2490"/>
      <c r="BC44" s="2332"/>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409">
        <f t="shared" ref="V45:AA45" ca="1" si="2">OFFSET(V45,0,-1)+1</f>
        <v>3</v>
      </c>
      <c r="W45" s="1409">
        <f t="shared" ca="1" si="2"/>
        <v>4</v>
      </c>
      <c r="X45" s="1409">
        <f t="shared" ca="1" si="2"/>
        <v>5</v>
      </c>
      <c r="Y45" s="1409">
        <f t="shared" ca="1" si="2"/>
        <v>6</v>
      </c>
      <c r="Z45" s="1409">
        <f t="shared" ca="1" si="2"/>
        <v>7</v>
      </c>
      <c r="AA45" s="2479">
        <f t="shared" ca="1" si="2"/>
        <v>8</v>
      </c>
      <c r="AB45" s="2479"/>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479">
        <f ca="1">OFFSET(AY45,0,-1)+1</f>
        <v>3</v>
      </c>
      <c r="AZ45" s="2479"/>
      <c r="BA45" s="1409">
        <f ca="1">OFFSET(BA45,0,-2)+1</f>
        <v>4</v>
      </c>
      <c r="BB45" s="1172">
        <f ca="1">OFFSET(BB45,0,-1)</f>
        <v>4</v>
      </c>
      <c r="BC45" s="1409">
        <f ca="1">OFFSET(BC45,0,-1)+1</f>
        <v>5</v>
      </c>
      <c r="BD45" s="448"/>
      <c r="BE45" s="448"/>
      <c r="BF45" s="448"/>
      <c r="BG45" s="448"/>
      <c r="BH45" s="448"/>
      <c r="BI45" s="433">
        <v>0</v>
      </c>
    </row>
    <row r="46" spans="1:61" ht="21.95" customHeight="1">
      <c r="A46" s="1290" t="s">
        <v>268</v>
      </c>
      <c r="B46" s="1290"/>
      <c r="C46" s="1290"/>
      <c r="D46" s="1290"/>
      <c r="E46" s="2468">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124</v>
      </c>
      <c r="U46" s="238"/>
      <c r="V46" s="2463"/>
      <c r="W46" s="2463"/>
      <c r="X46" s="2463"/>
      <c r="Y46" s="2463"/>
      <c r="Z46" s="2463"/>
      <c r="AA46" s="2463"/>
      <c r="AB46" s="2463"/>
      <c r="AC46" s="2464"/>
      <c r="AD46" s="2462" t="str">
        <f>INDEX(PT_DIFFERENTIATION_NTAR,MATCH(A46,PT_DIFFERENTIATION_NTAR_ID,0))</f>
        <v/>
      </c>
      <c r="AE46" s="2463"/>
      <c r="AF46" s="2463"/>
      <c r="AG46" s="2463"/>
      <c r="AH46" s="2463"/>
      <c r="AI46" s="2463"/>
      <c r="AJ46" s="2463"/>
      <c r="AK46" s="2463"/>
      <c r="AL46" s="2463"/>
      <c r="AM46" s="2463"/>
      <c r="AN46" s="2463"/>
      <c r="AO46" s="2463"/>
      <c r="AP46" s="2463"/>
      <c r="AQ46" s="2463"/>
      <c r="AR46" s="2463"/>
      <c r="AS46" s="2463"/>
      <c r="AT46" s="2463"/>
      <c r="AU46" s="2463"/>
      <c r="AV46" s="2463"/>
      <c r="AW46" s="2463"/>
      <c r="AX46" s="2463"/>
      <c r="AY46" s="2463"/>
      <c r="AZ46" s="2463"/>
      <c r="BA46" s="2463"/>
      <c r="BB46" s="2464"/>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268</v>
      </c>
      <c r="B47" s="1290" t="s">
        <v>269</v>
      </c>
      <c r="C47" s="1290"/>
      <c r="D47" s="1290"/>
      <c r="E47" s="2469"/>
      <c r="F47" s="2468">
        <v>1</v>
      </c>
      <c r="G47" s="1290"/>
      <c r="H47" s="1290"/>
      <c r="I47" s="1290"/>
      <c r="J47" s="1290"/>
      <c r="K47" s="1290"/>
      <c r="L47" s="1291"/>
      <c r="M47" s="1292"/>
      <c r="N47" s="1292"/>
      <c r="O47" s="1292"/>
      <c r="P47" s="1337"/>
      <c r="Q47" s="1338"/>
      <c r="R47" s="290"/>
      <c r="S47" s="1420" t="str">
        <f>INDEX(PT_DIFFERENTIATION_NUM_TER,MATCH(B47,PT_DIFFERENTIATION_TER_ID,0))</f>
        <v>.</v>
      </c>
      <c r="T47" s="246" t="s">
        <v>404</v>
      </c>
      <c r="U47" s="238"/>
      <c r="V47" s="2463"/>
      <c r="W47" s="2463"/>
      <c r="X47" s="2463"/>
      <c r="Y47" s="2463"/>
      <c r="Z47" s="2463"/>
      <c r="AA47" s="2463"/>
      <c r="AB47" s="2463"/>
      <c r="AC47" s="2464"/>
      <c r="AD47" s="2462" t="str">
        <f>INDEX(PT_DIFFERENTIATION_TER,MATCH(B47,PT_DIFFERENTIATION_TER_ID,0))</f>
        <v/>
      </c>
      <c r="AE47" s="2463"/>
      <c r="AF47" s="2463"/>
      <c r="AG47" s="2463"/>
      <c r="AH47" s="2463"/>
      <c r="AI47" s="2463"/>
      <c r="AJ47" s="2463"/>
      <c r="AK47" s="2463"/>
      <c r="AL47" s="2463"/>
      <c r="AM47" s="2463"/>
      <c r="AN47" s="2463"/>
      <c r="AO47" s="2463"/>
      <c r="AP47" s="2463"/>
      <c r="AQ47" s="2463"/>
      <c r="AR47" s="2463"/>
      <c r="AS47" s="2463"/>
      <c r="AT47" s="2463"/>
      <c r="AU47" s="2463"/>
      <c r="AV47" s="2463"/>
      <c r="AW47" s="2463"/>
      <c r="AX47" s="2463"/>
      <c r="AY47" s="2463"/>
      <c r="AZ47" s="2463"/>
      <c r="BA47" s="2463"/>
      <c r="BB47" s="2464"/>
      <c r="BC47" s="1185" t="s">
        <v>405</v>
      </c>
      <c r="BE47" s="437"/>
      <c r="BF47" s="437" t="str">
        <f t="shared" si="3"/>
        <v>Территория действия тарифа</v>
      </c>
      <c r="BG47" s="437"/>
      <c r="BH47" s="437"/>
      <c r="BI47" s="1082">
        <v>21</v>
      </c>
    </row>
    <row r="48" spans="1:61" ht="35.65" customHeight="1">
      <c r="A48" s="1290" t="s">
        <v>268</v>
      </c>
      <c r="B48" s="1290" t="s">
        <v>269</v>
      </c>
      <c r="C48" s="1290" t="s">
        <v>270</v>
      </c>
      <c r="D48" s="1290"/>
      <c r="E48" s="2469"/>
      <c r="F48" s="2469"/>
      <c r="G48" s="2468">
        <v>1</v>
      </c>
      <c r="H48" s="1290"/>
      <c r="I48" s="1290"/>
      <c r="J48" s="1290"/>
      <c r="K48" s="1290"/>
      <c r="L48" s="1291"/>
      <c r="M48" s="1292"/>
      <c r="N48" s="1292"/>
      <c r="O48" s="1292"/>
      <c r="P48" s="1339"/>
      <c r="Q48" s="1338"/>
      <c r="R48" s="290"/>
      <c r="S48" s="1420" t="str">
        <f>INDEX(PT_DIFFERENTIATION_NUM_CS,MATCH(C48,PT_DIFFERENTIATION_CS_ID,0))</f>
        <v>..</v>
      </c>
      <c r="T48" s="247" t="s">
        <v>539</v>
      </c>
      <c r="U48" s="238"/>
      <c r="V48" s="2463"/>
      <c r="W48" s="2463"/>
      <c r="X48" s="2463"/>
      <c r="Y48" s="2463"/>
      <c r="Z48" s="2463"/>
      <c r="AA48" s="2463"/>
      <c r="AB48" s="2463"/>
      <c r="AC48" s="2464"/>
      <c r="AD48" s="2462" t="str">
        <f>INDEX(PT_DIFFERENTIATION_CS,MATCH(C48,PT_DIFFERENTIATION_CS_ID,0))</f>
        <v/>
      </c>
      <c r="AE48" s="2463"/>
      <c r="AF48" s="2463"/>
      <c r="AG48" s="2463"/>
      <c r="AH48" s="2463"/>
      <c r="AI48" s="2463"/>
      <c r="AJ48" s="2463"/>
      <c r="AK48" s="2463"/>
      <c r="AL48" s="2463"/>
      <c r="AM48" s="2463"/>
      <c r="AN48" s="2463"/>
      <c r="AO48" s="2463"/>
      <c r="AP48" s="2463"/>
      <c r="AQ48" s="2463"/>
      <c r="AR48" s="2463"/>
      <c r="AS48" s="2463"/>
      <c r="AT48" s="2463"/>
      <c r="AU48" s="2463"/>
      <c r="AV48" s="2463"/>
      <c r="AW48" s="2463"/>
      <c r="AX48" s="2463"/>
      <c r="AY48" s="2463"/>
      <c r="AZ48" s="2463"/>
      <c r="BA48" s="2463"/>
      <c r="BB48" s="2464"/>
      <c r="BC48" s="1185" t="s">
        <v>540</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268</v>
      </c>
      <c r="B49" s="1270" t="s">
        <v>269</v>
      </c>
      <c r="C49" s="1270" t="s">
        <v>270</v>
      </c>
      <c r="D49" s="1270" t="s">
        <v>553</v>
      </c>
      <c r="E49" s="2469"/>
      <c r="F49" s="2469"/>
      <c r="G49" s="2469"/>
      <c r="H49" s="2468">
        <v>1</v>
      </c>
      <c r="I49" s="1270"/>
      <c r="J49" s="1270"/>
      <c r="K49" s="1270"/>
      <c r="L49" s="1273"/>
      <c r="M49" s="1242"/>
      <c r="N49" s="1242"/>
      <c r="O49" s="1242"/>
      <c r="P49" s="1424"/>
      <c r="Q49" s="1425"/>
      <c r="R49" s="294"/>
      <c r="S49" s="972"/>
      <c r="T49" s="1426"/>
      <c r="U49" s="1311"/>
      <c r="V49" s="2510"/>
      <c r="W49" s="2510"/>
      <c r="X49" s="2510"/>
      <c r="Y49" s="2510"/>
      <c r="Z49" s="2510"/>
      <c r="AA49" s="2510"/>
      <c r="AB49" s="2510"/>
      <c r="AC49" s="2511"/>
      <c r="AD49" s="2509"/>
      <c r="AE49" s="2510"/>
      <c r="AF49" s="2510"/>
      <c r="AG49" s="2510"/>
      <c r="AH49" s="2510"/>
      <c r="AI49" s="2510"/>
      <c r="AJ49" s="2510"/>
      <c r="AK49" s="2510"/>
      <c r="AL49" s="2510"/>
      <c r="AM49" s="2510"/>
      <c r="AN49" s="2510"/>
      <c r="AO49" s="2510"/>
      <c r="AP49" s="2510"/>
      <c r="AQ49" s="2510"/>
      <c r="AR49" s="2510"/>
      <c r="AS49" s="2510"/>
      <c r="AT49" s="2510"/>
      <c r="AU49" s="2510"/>
      <c r="AV49" s="2510"/>
      <c r="AW49" s="2510"/>
      <c r="AX49" s="2510"/>
      <c r="AY49" s="2510"/>
      <c r="AZ49" s="2510"/>
      <c r="BA49" s="2510"/>
      <c r="BB49" s="2511"/>
      <c r="BC49" s="1312" t="s">
        <v>409</v>
      </c>
      <c r="BE49" s="437"/>
      <c r="BF49" s="437" t="str">
        <f t="shared" si="3"/>
        <v/>
      </c>
      <c r="BG49" s="437"/>
      <c r="BH49" s="437"/>
      <c r="BI49" s="448">
        <v>0</v>
      </c>
    </row>
    <row r="50" spans="1:61" s="1569" customFormat="1" ht="0" hidden="1" customHeight="1">
      <c r="A50" s="1270" t="s">
        <v>268</v>
      </c>
      <c r="B50" s="1270" t="s">
        <v>269</v>
      </c>
      <c r="C50" s="1270" t="s">
        <v>270</v>
      </c>
      <c r="D50" s="1270" t="s">
        <v>553</v>
      </c>
      <c r="E50" s="2469"/>
      <c r="F50" s="2469"/>
      <c r="G50" s="2469"/>
      <c r="H50" s="2469"/>
      <c r="I50" s="2470" t="str">
        <f>S49&amp;".1"</f>
        <v>.1</v>
      </c>
      <c r="J50" s="1270"/>
      <c r="K50" s="1270"/>
      <c r="L50" s="1273" t="s">
        <v>410</v>
      </c>
      <c r="M50" s="447"/>
      <c r="N50" s="447"/>
      <c r="O50" s="447"/>
      <c r="P50" s="2472">
        <v>1</v>
      </c>
      <c r="Q50" s="1408"/>
      <c r="R50" s="293"/>
      <c r="S50" s="972"/>
      <c r="T50" s="1310"/>
      <c r="U50" s="1311"/>
      <c r="V50" s="2510"/>
      <c r="W50" s="2510"/>
      <c r="X50" s="2510"/>
      <c r="Y50" s="2510"/>
      <c r="Z50" s="2510"/>
      <c r="AA50" s="2510"/>
      <c r="AB50" s="2510"/>
      <c r="AC50" s="2511"/>
      <c r="AD50" s="2509"/>
      <c r="AE50" s="2510"/>
      <c r="AF50" s="2510"/>
      <c r="AG50" s="2510"/>
      <c r="AH50" s="2510"/>
      <c r="AI50" s="2510"/>
      <c r="AJ50" s="2510"/>
      <c r="AK50" s="2510"/>
      <c r="AL50" s="2510"/>
      <c r="AM50" s="2510"/>
      <c r="AN50" s="2510"/>
      <c r="AO50" s="2510"/>
      <c r="AP50" s="2510"/>
      <c r="AQ50" s="2510"/>
      <c r="AR50" s="2510"/>
      <c r="AS50" s="2510"/>
      <c r="AT50" s="2510"/>
      <c r="AU50" s="2510"/>
      <c r="AV50" s="2510"/>
      <c r="AW50" s="2510"/>
      <c r="AX50" s="2510"/>
      <c r="AY50" s="2510"/>
      <c r="AZ50" s="2510"/>
      <c r="BA50" s="2510"/>
      <c r="BB50" s="2511"/>
      <c r="BC50" s="1312"/>
      <c r="BE50" s="437"/>
      <c r="BF50" s="437" t="str">
        <f t="shared" si="3"/>
        <v/>
      </c>
      <c r="BG50" s="437"/>
      <c r="BH50" s="437"/>
      <c r="BI50" s="448">
        <v>0</v>
      </c>
    </row>
    <row r="51" spans="1:61" s="1569" customFormat="1" ht="0" hidden="1" customHeight="1">
      <c r="A51" s="1270" t="s">
        <v>268</v>
      </c>
      <c r="B51" s="1270" t="s">
        <v>269</v>
      </c>
      <c r="C51" s="1270" t="s">
        <v>270</v>
      </c>
      <c r="D51" s="1270" t="s">
        <v>553</v>
      </c>
      <c r="E51" s="2469"/>
      <c r="F51" s="2469"/>
      <c r="G51" s="2469"/>
      <c r="H51" s="2469"/>
      <c r="I51" s="2471"/>
      <c r="J51" s="2470" t="str">
        <f>S49&amp;".1"</f>
        <v>.1</v>
      </c>
      <c r="K51" s="1270"/>
      <c r="L51" s="1273"/>
      <c r="M51" s="447"/>
      <c r="N51" s="447"/>
      <c r="O51" s="447"/>
      <c r="P51" s="2472"/>
      <c r="Q51" s="2472">
        <v>1</v>
      </c>
      <c r="R51" s="294"/>
      <c r="S51" s="972"/>
      <c r="T51" s="1326"/>
      <c r="U51" s="1311"/>
      <c r="V51" s="2510"/>
      <c r="W51" s="2510"/>
      <c r="X51" s="2510"/>
      <c r="Y51" s="2510"/>
      <c r="Z51" s="2510"/>
      <c r="AA51" s="2510"/>
      <c r="AB51" s="2510"/>
      <c r="AC51" s="2511"/>
      <c r="AD51" s="2509"/>
      <c r="AE51" s="2510"/>
      <c r="AF51" s="2510"/>
      <c r="AG51" s="2510"/>
      <c r="AH51" s="2510"/>
      <c r="AI51" s="2510"/>
      <c r="AJ51" s="2510"/>
      <c r="AK51" s="2510"/>
      <c r="AL51" s="2510"/>
      <c r="AM51" s="2510"/>
      <c r="AN51" s="2564"/>
      <c r="AO51" s="2564"/>
      <c r="AP51" s="2510"/>
      <c r="AQ51" s="2510"/>
      <c r="AR51" s="2510"/>
      <c r="AS51" s="2510"/>
      <c r="AT51" s="2510"/>
      <c r="AU51" s="2510"/>
      <c r="AV51" s="2510"/>
      <c r="AW51" s="2510"/>
      <c r="AX51" s="2510"/>
      <c r="AY51" s="2510"/>
      <c r="AZ51" s="2510"/>
      <c r="BA51" s="2510"/>
      <c r="BB51" s="2511"/>
      <c r="BC51" s="1312"/>
      <c r="BE51" s="437"/>
      <c r="BF51" s="437" t="str">
        <f t="shared" si="3"/>
        <v/>
      </c>
      <c r="BG51" s="437"/>
      <c r="BH51" s="437"/>
      <c r="BI51" s="448">
        <v>0</v>
      </c>
    </row>
    <row r="52" spans="1:61" ht="11.45" customHeight="1">
      <c r="A52" s="1290" t="s">
        <v>268</v>
      </c>
      <c r="B52" s="1290" t="s">
        <v>269</v>
      </c>
      <c r="C52" s="1290" t="s">
        <v>270</v>
      </c>
      <c r="D52" s="1290" t="s">
        <v>553</v>
      </c>
      <c r="E52" s="2469"/>
      <c r="F52" s="2469"/>
      <c r="G52" s="2469"/>
      <c r="H52" s="2469"/>
      <c r="I52" s="2471"/>
      <c r="J52" s="2471"/>
      <c r="K52" s="2470" t="str">
        <f>S48&amp;".1"</f>
        <v>...1</v>
      </c>
      <c r="L52" s="1291"/>
      <c r="P52" s="2472"/>
      <c r="Q52" s="2472"/>
      <c r="R52" s="294">
        <v>1</v>
      </c>
      <c r="S52" s="2538" t="str">
        <f>$K52</f>
        <v>...1</v>
      </c>
      <c r="T52" s="2558"/>
      <c r="U52" s="238"/>
      <c r="V52" s="688"/>
      <c r="W52" s="1184"/>
      <c r="X52" s="688"/>
      <c r="Y52" s="1184"/>
      <c r="Z52" s="1660"/>
      <c r="AA52" s="1396" t="s">
        <v>67</v>
      </c>
      <c r="AB52" s="1660"/>
      <c r="AC52" s="1396" t="s">
        <v>67</v>
      </c>
      <c r="AD52" s="2392" t="s">
        <v>67</v>
      </c>
      <c r="AE52" s="2534"/>
      <c r="AF52" s="2425">
        <v>1</v>
      </c>
      <c r="AG52" s="2557"/>
      <c r="AH52" s="2342" t="s">
        <v>67</v>
      </c>
      <c r="AI52" s="2534"/>
      <c r="AJ52" s="2425">
        <v>1</v>
      </c>
      <c r="AK52" s="2548" t="s">
        <v>28</v>
      </c>
      <c r="AL52" s="2342" t="s">
        <v>67</v>
      </c>
      <c r="AM52" s="2402"/>
      <c r="AN52" s="2425">
        <v>1</v>
      </c>
      <c r="AO52" s="2561"/>
      <c r="AP52" s="2562" t="s">
        <v>67</v>
      </c>
      <c r="AQ52" s="249"/>
      <c r="AR52" s="1413">
        <v>1</v>
      </c>
      <c r="AS52" s="1419" t="s">
        <v>28</v>
      </c>
      <c r="AT52" s="688"/>
      <c r="AU52" s="1184"/>
      <c r="AV52" s="688"/>
      <c r="AW52" s="1184"/>
      <c r="AX52" s="1660"/>
      <c r="AY52" s="1396" t="s">
        <v>67</v>
      </c>
      <c r="AZ52" s="1660"/>
      <c r="BA52" s="1396" t="s">
        <v>67</v>
      </c>
      <c r="BB52" s="1275"/>
      <c r="BC52" s="2491" t="s">
        <v>510</v>
      </c>
      <c r="BE52" s="437"/>
      <c r="BF52" s="437" t="str">
        <f t="shared" si="3"/>
        <v/>
      </c>
      <c r="BG52" s="437"/>
      <c r="BH52" s="437"/>
      <c r="BI52" s="1082">
        <v>11</v>
      </c>
    </row>
    <row r="53" spans="1:61" ht="11.45" customHeight="1">
      <c r="A53" s="1290"/>
      <c r="B53" s="1290"/>
      <c r="C53" s="1290"/>
      <c r="D53" s="1290"/>
      <c r="E53" s="2469"/>
      <c r="F53" s="2469"/>
      <c r="G53" s="2469"/>
      <c r="H53" s="2469"/>
      <c r="I53" s="2471"/>
      <c r="J53" s="2471"/>
      <c r="K53" s="2470"/>
      <c r="L53" s="1291"/>
      <c r="P53" s="2472"/>
      <c r="Q53" s="2472"/>
      <c r="R53" s="294"/>
      <c r="S53" s="2539"/>
      <c r="T53" s="2559"/>
      <c r="U53" s="238"/>
      <c r="V53" s="1320"/>
      <c r="W53" s="1423"/>
      <c r="X53" s="1320"/>
      <c r="Y53" s="1423"/>
      <c r="Z53" s="1320"/>
      <c r="AA53" s="1320"/>
      <c r="AB53" s="1320"/>
      <c r="AC53" s="1320"/>
      <c r="AD53" s="2393"/>
      <c r="AE53" s="2534"/>
      <c r="AF53" s="2425"/>
      <c r="AG53" s="2557"/>
      <c r="AH53" s="2342"/>
      <c r="AI53" s="2534"/>
      <c r="AJ53" s="2425"/>
      <c r="AK53" s="2548"/>
      <c r="AL53" s="2342"/>
      <c r="AM53" s="2407"/>
      <c r="AN53" s="2425"/>
      <c r="AO53" s="2561"/>
      <c r="AP53" s="2563"/>
      <c r="AQ53" s="254"/>
      <c r="AR53" s="353"/>
      <c r="AS53" s="353" t="s">
        <v>511</v>
      </c>
      <c r="AT53" s="1320"/>
      <c r="AU53" s="1423"/>
      <c r="AV53" s="1320"/>
      <c r="AW53" s="1423"/>
      <c r="AX53" s="1320"/>
      <c r="AY53" s="1320"/>
      <c r="AZ53" s="1320"/>
      <c r="BA53" s="1320"/>
      <c r="BB53" s="1324"/>
      <c r="BC53" s="2492"/>
      <c r="BE53" s="437"/>
      <c r="BF53" s="437"/>
      <c r="BG53" s="437"/>
      <c r="BH53" s="437"/>
      <c r="BI53" s="1082">
        <v>11</v>
      </c>
    </row>
    <row r="54" spans="1:61" ht="11.45" customHeight="1">
      <c r="A54" s="1290" t="s">
        <v>268</v>
      </c>
      <c r="B54" s="1290"/>
      <c r="C54" s="1290"/>
      <c r="D54" s="1290"/>
      <c r="E54" s="2469"/>
      <c r="F54" s="2469"/>
      <c r="G54" s="2469"/>
      <c r="H54" s="2469"/>
      <c r="I54" s="2471"/>
      <c r="J54" s="2471"/>
      <c r="K54" s="2470"/>
      <c r="L54" s="1291"/>
      <c r="P54" s="2472"/>
      <c r="Q54" s="2472"/>
      <c r="R54" s="294"/>
      <c r="S54" s="2539"/>
      <c r="T54" s="2559"/>
      <c r="U54" s="238"/>
      <c r="V54" s="1320"/>
      <c r="W54" s="1423"/>
      <c r="X54" s="1320"/>
      <c r="Y54" s="1423"/>
      <c r="Z54" s="1320"/>
      <c r="AA54" s="1320"/>
      <c r="AB54" s="1320"/>
      <c r="AC54" s="1320"/>
      <c r="AD54" s="2393"/>
      <c r="AE54" s="2534"/>
      <c r="AF54" s="2425"/>
      <c r="AG54" s="2557"/>
      <c r="AH54" s="2342"/>
      <c r="AI54" s="2534"/>
      <c r="AJ54" s="2425"/>
      <c r="AK54" s="2548"/>
      <c r="AL54" s="2342"/>
      <c r="AM54" s="254"/>
      <c r="AN54" s="1427"/>
      <c r="AO54" s="1427" t="s">
        <v>512</v>
      </c>
      <c r="AP54" s="353"/>
      <c r="AQ54" s="353"/>
      <c r="AR54" s="353"/>
      <c r="AS54" s="1320"/>
      <c r="AT54" s="1320"/>
      <c r="AU54" s="1423"/>
      <c r="AV54" s="1320"/>
      <c r="AW54" s="1423"/>
      <c r="AX54" s="1320"/>
      <c r="AY54" s="1320"/>
      <c r="AZ54" s="1320"/>
      <c r="BA54" s="1320"/>
      <c r="BB54" s="1324"/>
      <c r="BC54" s="2492"/>
      <c r="BE54" s="437"/>
      <c r="BF54" s="437"/>
      <c r="BG54" s="437"/>
      <c r="BH54" s="437"/>
      <c r="BI54" s="1082">
        <v>11</v>
      </c>
    </row>
    <row r="55" spans="1:61" ht="11.45" customHeight="1">
      <c r="A55" s="1290" t="s">
        <v>268</v>
      </c>
      <c r="B55" s="1290"/>
      <c r="C55" s="1290"/>
      <c r="D55" s="1290"/>
      <c r="E55" s="2469"/>
      <c r="F55" s="2469"/>
      <c r="G55" s="2469"/>
      <c r="H55" s="2469"/>
      <c r="I55" s="2471"/>
      <c r="J55" s="2471"/>
      <c r="K55" s="2470"/>
      <c r="L55" s="1291"/>
      <c r="P55" s="2472"/>
      <c r="Q55" s="2472"/>
      <c r="R55" s="294"/>
      <c r="S55" s="2539"/>
      <c r="T55" s="2559"/>
      <c r="U55" s="238"/>
      <c r="V55" s="1320"/>
      <c r="W55" s="1423"/>
      <c r="X55" s="1320"/>
      <c r="Y55" s="1423"/>
      <c r="Z55" s="1320"/>
      <c r="AA55" s="1320"/>
      <c r="AB55" s="1320"/>
      <c r="AC55" s="1320"/>
      <c r="AD55" s="2393"/>
      <c r="AE55" s="2534"/>
      <c r="AF55" s="2425"/>
      <c r="AG55" s="2557"/>
      <c r="AH55" s="2342"/>
      <c r="AI55" s="232"/>
      <c r="AJ55" s="352"/>
      <c r="AK55" s="251" t="s">
        <v>513</v>
      </c>
      <c r="AL55" s="1320"/>
      <c r="AM55" s="1320"/>
      <c r="AN55" s="1320"/>
      <c r="AO55" s="1320"/>
      <c r="AP55" s="1320"/>
      <c r="AQ55" s="1320"/>
      <c r="AR55" s="1320"/>
      <c r="AS55" s="1320"/>
      <c r="AT55" s="1320"/>
      <c r="AU55" s="1423"/>
      <c r="AV55" s="1320"/>
      <c r="AW55" s="1423"/>
      <c r="AX55" s="1320"/>
      <c r="AY55" s="1320"/>
      <c r="AZ55" s="1320"/>
      <c r="BA55" s="1320"/>
      <c r="BB55" s="1324"/>
      <c r="BC55" s="2492"/>
      <c r="BE55" s="437"/>
      <c r="BF55" s="437"/>
      <c r="BG55" s="437"/>
      <c r="BH55" s="437"/>
      <c r="BI55" s="1082">
        <v>11</v>
      </c>
    </row>
    <row r="56" spans="1:61" ht="11.45" customHeight="1">
      <c r="A56" s="1290" t="s">
        <v>268</v>
      </c>
      <c r="B56" s="1290" t="s">
        <v>269</v>
      </c>
      <c r="C56" s="1290" t="s">
        <v>270</v>
      </c>
      <c r="D56" s="1290" t="s">
        <v>553</v>
      </c>
      <c r="E56" s="2469"/>
      <c r="F56" s="2469"/>
      <c r="G56" s="2469"/>
      <c r="H56" s="2469"/>
      <c r="I56" s="2471"/>
      <c r="J56" s="2471"/>
      <c r="K56" s="2470"/>
      <c r="L56" s="1291"/>
      <c r="P56" s="2472"/>
      <c r="Q56" s="2472"/>
      <c r="R56" s="294"/>
      <c r="S56" s="2540"/>
      <c r="T56" s="2560"/>
      <c r="U56" s="238"/>
      <c r="V56" s="1320"/>
      <c r="W56" s="1321" t="str">
        <f>Z52&amp;"-"&amp;AB52</f>
        <v>-</v>
      </c>
      <c r="X56" s="1320"/>
      <c r="Y56" s="1321" t="str">
        <f>AB52&amp;"-"&amp;AD52</f>
        <v>-да</v>
      </c>
      <c r="Z56" s="1320"/>
      <c r="AA56" s="1320"/>
      <c r="AB56" s="1320"/>
      <c r="AC56" s="1320"/>
      <c r="AD56" s="2347"/>
      <c r="AE56" s="250"/>
      <c r="AF56" s="252"/>
      <c r="AG56" s="353" t="s">
        <v>514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492"/>
      <c r="BE56" s="437"/>
      <c r="BF56" s="437" t="str">
        <f t="shared" ref="BF56:BF63" si="4">IF(T56="","",T56)</f>
        <v/>
      </c>
      <c r="BG56" s="437"/>
      <c r="BH56" s="437"/>
      <c r="BI56" s="1082">
        <v>11</v>
      </c>
    </row>
    <row r="57" spans="1:61" ht="11.45" customHeight="1">
      <c r="A57" s="1290" t="s">
        <v>268</v>
      </c>
      <c r="B57" s="1290" t="s">
        <v>269</v>
      </c>
      <c r="C57" s="1290" t="s">
        <v>270</v>
      </c>
      <c r="D57" s="1290" t="s">
        <v>553</v>
      </c>
      <c r="E57" s="2469"/>
      <c r="F57" s="2469"/>
      <c r="G57" s="2469"/>
      <c r="H57" s="2469"/>
      <c r="I57" s="2471"/>
      <c r="J57" s="2470"/>
      <c r="K57" s="1290"/>
      <c r="L57" s="1291"/>
      <c r="P57" s="2472"/>
      <c r="Q57" s="2472"/>
      <c r="R57" s="293"/>
      <c r="S57" s="1205"/>
      <c r="T57" s="225" t="s">
        <v>477</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493"/>
      <c r="BE57" s="437"/>
      <c r="BF57" s="437" t="str">
        <f t="shared" si="4"/>
        <v>Добавить строку</v>
      </c>
      <c r="BG57" s="437"/>
      <c r="BH57" s="437"/>
      <c r="BI57" s="1082">
        <v>11</v>
      </c>
    </row>
    <row r="58" spans="1:61" s="1569" customFormat="1" ht="0" hidden="1" customHeight="1">
      <c r="A58" s="1270" t="s">
        <v>268</v>
      </c>
      <c r="B58" s="1270" t="s">
        <v>269</v>
      </c>
      <c r="C58" s="1270" t="s">
        <v>270</v>
      </c>
      <c r="D58" s="1270" t="s">
        <v>553</v>
      </c>
      <c r="E58" s="2469"/>
      <c r="F58" s="2469"/>
      <c r="G58" s="2469"/>
      <c r="H58" s="2469"/>
      <c r="I58" s="2470"/>
      <c r="J58" s="1270"/>
      <c r="K58" s="1270"/>
      <c r="L58" s="1273"/>
      <c r="M58" s="447"/>
      <c r="N58" s="447"/>
      <c r="O58" s="447"/>
      <c r="P58" s="2472"/>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268</v>
      </c>
      <c r="B59" s="1270" t="s">
        <v>269</v>
      </c>
      <c r="C59" s="1270" t="s">
        <v>270</v>
      </c>
      <c r="D59" s="1270" t="s">
        <v>553</v>
      </c>
      <c r="E59" s="2469"/>
      <c r="F59" s="2469"/>
      <c r="G59" s="2469"/>
      <c r="H59" s="2468"/>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268</v>
      </c>
      <c r="B60" s="1270" t="s">
        <v>269</v>
      </c>
      <c r="C60" s="1270" t="s">
        <v>270</v>
      </c>
      <c r="D60" s="1241"/>
      <c r="E60" s="2469"/>
      <c r="F60" s="2469"/>
      <c r="G60" s="2468"/>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268</v>
      </c>
      <c r="B61" s="1270" t="s">
        <v>269</v>
      </c>
      <c r="C61" s="1241"/>
      <c r="D61" s="1241"/>
      <c r="E61" s="2469"/>
      <c r="F61" s="2468"/>
      <c r="G61" s="1241"/>
      <c r="H61" s="1241"/>
      <c r="I61" s="1241"/>
      <c r="J61" s="1241"/>
      <c r="K61" s="1241"/>
      <c r="L61" s="1421"/>
      <c r="M61" s="1248"/>
      <c r="N61" s="1248"/>
      <c r="P61" s="1243"/>
      <c r="Q61" s="1244"/>
      <c r="R61" s="1243"/>
      <c r="S61" s="1249"/>
      <c r="T61" s="1252" t="s">
        <v>170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268</v>
      </c>
      <c r="B62" s="1270"/>
      <c r="C62" s="1270"/>
      <c r="D62" s="1270"/>
      <c r="E62" s="2468"/>
      <c r="F62" s="1270"/>
      <c r="G62" s="1270"/>
      <c r="H62" s="1270"/>
      <c r="I62" s="1270"/>
      <c r="J62" s="1270"/>
      <c r="K62" s="1270"/>
      <c r="L62" s="1273"/>
      <c r="M62" s="1248"/>
      <c r="N62" s="1248"/>
      <c r="O62" s="455"/>
      <c r="P62" s="317"/>
      <c r="Q62" s="1271"/>
      <c r="R62" s="317"/>
      <c r="S62" s="1249"/>
      <c r="T62" s="1252" t="s">
        <v>171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172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467"/>
      <c r="U65" s="2467"/>
      <c r="V65" s="2467"/>
      <c r="W65" s="2467"/>
      <c r="X65" s="2467"/>
      <c r="Y65" s="2467"/>
      <c r="Z65" s="2467"/>
      <c r="AA65" s="2467"/>
      <c r="AB65" s="2467"/>
      <c r="AC65" s="2467"/>
      <c r="AD65" s="2467"/>
      <c r="AE65" s="2467"/>
      <c r="AF65" s="2467"/>
      <c r="AG65" s="2467"/>
      <c r="AH65" s="2467"/>
      <c r="AI65" s="2467"/>
      <c r="AJ65" s="2467"/>
      <c r="AK65" s="2467"/>
      <c r="AL65" s="2467"/>
      <c r="AM65" s="2467"/>
      <c r="AN65" s="2467"/>
      <c r="AO65" s="2467"/>
      <c r="AP65" s="2467"/>
      <c r="AQ65" s="2467"/>
      <c r="AR65" s="2467"/>
      <c r="AS65" s="2467"/>
      <c r="AT65" s="2467"/>
      <c r="AU65" s="2467"/>
      <c r="AV65" s="2467"/>
      <c r="AW65" s="2467"/>
      <c r="AX65" s="2467"/>
      <c r="AY65" s="2467"/>
      <c r="AZ65" s="2467"/>
      <c r="BA65" s="2467"/>
      <c r="BB65" s="2467"/>
      <c r="BC65" s="2467"/>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467"/>
      <c r="U67" s="2467"/>
      <c r="V67" s="2467"/>
      <c r="W67" s="2467"/>
      <c r="X67" s="2467"/>
      <c r="Y67" s="2467"/>
      <c r="Z67" s="2467"/>
      <c r="AA67" s="2467"/>
      <c r="AB67" s="2467"/>
      <c r="AC67" s="2467"/>
      <c r="AD67" s="2467"/>
      <c r="AE67" s="2467"/>
      <c r="AF67" s="2467"/>
      <c r="AG67" s="2467"/>
      <c r="AH67" s="2467"/>
      <c r="AI67" s="2467"/>
      <c r="AJ67" s="2467"/>
      <c r="AK67" s="2467"/>
      <c r="AL67" s="2467"/>
      <c r="AM67" s="2467"/>
      <c r="AN67" s="2467"/>
      <c r="AO67" s="2467"/>
      <c r="AP67" s="2467"/>
      <c r="AQ67" s="2467"/>
      <c r="AR67" s="2467"/>
      <c r="AS67" s="2467"/>
      <c r="AT67" s="2467"/>
      <c r="AU67" s="2467"/>
      <c r="AV67" s="2467"/>
      <c r="AW67" s="2467"/>
      <c r="AX67" s="2467"/>
      <c r="AY67" s="2467"/>
      <c r="AZ67" s="2467"/>
      <c r="BA67" s="2467"/>
      <c r="BB67" s="2467"/>
      <c r="BC67" s="2467"/>
      <c r="BI67" s="1082">
        <v>19</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D7EE5-7EEC-6E1A-40A5-B8E252A8C50D}">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317"/>
      <c r="C2" s="1094" t="s">
        <v>554</v>
      </c>
      <c r="D2" s="1565"/>
      <c r="E2" s="483">
        <f>B2</f>
        <v>0</v>
      </c>
      <c r="F2" s="484"/>
      <c r="G2" s="1573" t="s">
        <v>555</v>
      </c>
      <c r="H2" s="1573" t="s">
        <v>555</v>
      </c>
      <c r="I2" s="1573" t="s">
        <v>555</v>
      </c>
      <c r="J2" s="227" t="s">
        <v>556</v>
      </c>
      <c r="K2" s="480"/>
      <c r="AF2" s="1558">
        <v>0</v>
      </c>
    </row>
    <row r="3" spans="1:32" s="1569" customFormat="1" ht="0.75" hidden="1" customHeight="1">
      <c r="B3" s="2317"/>
      <c r="C3" s="1094"/>
      <c r="D3" s="485"/>
      <c r="E3" s="486"/>
      <c r="F3" s="487" t="s">
        <v>557</v>
      </c>
      <c r="G3" s="488"/>
      <c r="H3" s="488">
        <f>H4*H5+H7</f>
        <v>0</v>
      </c>
      <c r="I3" s="488">
        <f>I4*I5+I6</f>
        <v>0</v>
      </c>
      <c r="J3" s="489"/>
      <c r="AF3" s="1563">
        <v>0</v>
      </c>
    </row>
    <row r="4" spans="1:32" ht="23.25" hidden="1" customHeight="1">
      <c r="B4" s="2317"/>
      <c r="C4" s="1094"/>
      <c r="D4" s="1565"/>
      <c r="E4" s="483" t="str">
        <f>B2&amp;".1"</f>
        <v>.1</v>
      </c>
      <c r="F4" s="490" t="s">
        <v>558</v>
      </c>
      <c r="G4" s="491"/>
      <c r="H4" s="478"/>
      <c r="I4" s="478"/>
      <c r="J4" s="227" t="s">
        <v>559</v>
      </c>
      <c r="K4" s="480"/>
      <c r="AF4" s="1558">
        <v>0</v>
      </c>
    </row>
    <row r="5" spans="1:32" ht="18.75" hidden="1" customHeight="1">
      <c r="B5" s="2317"/>
      <c r="C5" s="1094"/>
      <c r="D5" s="1565"/>
      <c r="E5" s="483" t="str">
        <f>B2&amp;".2"</f>
        <v>.2</v>
      </c>
      <c r="F5" s="490" t="s">
        <v>560</v>
      </c>
      <c r="G5" s="1573" t="s">
        <v>561</v>
      </c>
      <c r="H5" s="478"/>
      <c r="I5" s="478"/>
      <c r="J5" s="227"/>
      <c r="K5" s="480"/>
      <c r="AF5" s="1558">
        <v>0</v>
      </c>
    </row>
    <row r="6" spans="1:32" ht="18.75" hidden="1" customHeight="1">
      <c r="B6" s="2317"/>
      <c r="C6" s="1094"/>
      <c r="D6" s="1565"/>
      <c r="E6" s="483" t="str">
        <f>B2&amp;".3"</f>
        <v>.3</v>
      </c>
      <c r="F6" s="490" t="s">
        <v>562</v>
      </c>
      <c r="G6" s="1573" t="s">
        <v>561</v>
      </c>
      <c r="H6" s="478"/>
      <c r="I6" s="478"/>
      <c r="J6" s="227"/>
      <c r="K6" s="480"/>
      <c r="AF6" s="1558">
        <v>0</v>
      </c>
    </row>
    <row r="7" spans="1:32" ht="18.75" hidden="1" customHeight="1">
      <c r="B7" s="2317"/>
      <c r="C7" s="1094"/>
      <c r="D7" s="1565"/>
      <c r="E7" s="483" t="str">
        <f>B2&amp;".4"</f>
        <v>.4</v>
      </c>
      <c r="F7" s="490" t="s">
        <v>563</v>
      </c>
      <c r="G7" s="1573" t="s">
        <v>555</v>
      </c>
      <c r="H7" s="492"/>
      <c r="I7" s="492"/>
      <c r="J7" s="227"/>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561</v>
      </c>
      <c r="H9" s="478"/>
      <c r="I9" s="478"/>
      <c r="J9" s="479" t="s">
        <v>564</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565</v>
      </c>
      <c r="H11" s="478"/>
      <c r="I11" s="478"/>
      <c r="J11" s="227" t="s">
        <v>566</v>
      </c>
      <c r="K11" s="480"/>
      <c r="AF11" s="1558">
        <v>0</v>
      </c>
    </row>
    <row r="12" spans="1:32" ht="11.25" hidden="1" customHeight="1">
      <c r="AF12" s="1558">
        <v>0</v>
      </c>
    </row>
    <row r="13" spans="1:32" ht="22.5" hidden="1" customHeight="1">
      <c r="D13" s="1565"/>
      <c r="E13" s="483"/>
      <c r="F13" s="477"/>
      <c r="G13" s="899" t="s">
        <v>567</v>
      </c>
      <c r="H13" s="482"/>
      <c r="I13" s="482"/>
      <c r="J13" s="682" t="s">
        <v>568</v>
      </c>
      <c r="K13" s="480"/>
      <c r="AF13" s="1558">
        <v>0</v>
      </c>
    </row>
    <row r="14" spans="1:32" ht="11.25" hidden="1" customHeight="1">
      <c r="AF14" s="1558">
        <v>0</v>
      </c>
    </row>
    <row r="15" spans="1:32" ht="22.5" hidden="1" customHeight="1">
      <c r="D15" s="1565"/>
      <c r="E15" s="483"/>
      <c r="F15" s="477"/>
      <c r="G15" s="1573" t="s">
        <v>569</v>
      </c>
      <c r="H15" s="482"/>
      <c r="I15" s="482"/>
      <c r="J15" s="227" t="s">
        <v>570</v>
      </c>
      <c r="K15" s="480"/>
      <c r="AF15" s="1558">
        <v>0</v>
      </c>
    </row>
    <row r="16" spans="1:32" ht="11.25" hidden="1" customHeight="1">
      <c r="AF16" s="1558">
        <v>0</v>
      </c>
    </row>
    <row r="17" spans="1:32" ht="22.5" hidden="1" customHeight="1">
      <c r="D17" s="1565"/>
      <c r="E17" s="483"/>
      <c r="F17" s="477"/>
      <c r="G17" s="1573" t="s">
        <v>571</v>
      </c>
      <c r="H17" s="482"/>
      <c r="I17" s="482"/>
      <c r="J17" s="227" t="s">
        <v>572</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4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49"/>
      <c r="G21" s="2449"/>
      <c r="H21" s="2449"/>
      <c r="I21" s="2449"/>
      <c r="J21" s="493"/>
      <c r="AF21" s="1558">
        <v>24</v>
      </c>
    </row>
    <row r="22" spans="1:32" ht="25.15" customHeight="1">
      <c r="E22" s="2421" t="str">
        <f>IF(org=0,"Не определено",org)</f>
        <v>МУП "Городские тепловые сети" МО  "город Курчатов"</v>
      </c>
      <c r="F22" s="2421"/>
      <c r="G22" s="2421"/>
      <c r="H22" s="2421"/>
      <c r="I22" s="2421"/>
      <c r="AF22" s="1558">
        <v>24</v>
      </c>
    </row>
    <row r="23" spans="1:32" ht="11.45" customHeight="1">
      <c r="E23" s="1062"/>
      <c r="F23" s="1062"/>
      <c r="G23" s="1062"/>
      <c r="H23" s="1062"/>
      <c r="I23" s="1062"/>
      <c r="AF23" s="1558">
        <v>11</v>
      </c>
    </row>
    <row r="24" spans="1:32" s="1569" customFormat="1" ht="1.1499999999999999" customHeight="1">
      <c r="A24" s="1094"/>
      <c r="H24" s="819"/>
      <c r="I24" s="819" t="s">
        <v>118</v>
      </c>
      <c r="AF24" s="1563">
        <v>1</v>
      </c>
    </row>
    <row r="25" spans="1:32" ht="11.45" customHeight="1">
      <c r="E25" s="648"/>
      <c r="F25" s="2568" t="s">
        <v>106</v>
      </c>
      <c r="G25" s="2569"/>
      <c r="H25" s="1579" t="str">
        <f>IF(H24="","",INDEX(DIFFERENTIATION_UNMERGE_VD,MATCH(H24,DIFFERENTIATION_ID_DIFF,0)))</f>
        <v/>
      </c>
      <c r="I25" s="1579">
        <f>IF(I24="","",INDEX(DIFFERENTIATION_UNMERGE_VD,MATCH(I24,DIFFERENTIATION_ID_DIFF,0)))</f>
        <v>0</v>
      </c>
      <c r="J25" s="2332"/>
      <c r="AF25" s="1558">
        <v>11</v>
      </c>
    </row>
    <row r="26" spans="1:32" ht="11.45" customHeight="1">
      <c r="E26" s="648"/>
      <c r="F26" s="2568" t="s">
        <v>573</v>
      </c>
      <c r="G26" s="2569"/>
      <c r="H26" s="1579" t="str">
        <f>IF(H24="","",INDEX(DIFFERENTIATION_UNMERGE_AREA,MATCH(H24,DIFFERENTIATION_ID_DIFF,0)))</f>
        <v/>
      </c>
      <c r="I26" s="1579" t="str">
        <f>IF(I24="","",INDEX(DIFFERENTIATION_UNMERGE_AREA,MATCH(I24,DIFFERENTIATION_ID_DIFF,0)))</f>
        <v/>
      </c>
      <c r="J26" s="2332"/>
      <c r="AF26" s="1558">
        <v>11</v>
      </c>
    </row>
    <row r="27" spans="1:32" ht="11.45" customHeight="1">
      <c r="E27" s="648"/>
      <c r="F27" s="2568" t="s">
        <v>574</v>
      </c>
      <c r="G27" s="2569"/>
      <c r="H27" s="1579" t="str">
        <f>IF(H24="","",INDEX(DIFFERENTIATION_UNMERGE_SYSTEM,MATCH(H24,DIFFERENTIATION_ID_DIFF,0)))</f>
        <v/>
      </c>
      <c r="I27" s="1579" t="str">
        <f>IF(I24="","",INDEX(DIFFERENTIATION_UNMERGE_SYSTEM,MATCH(I24,DIFFERENTIATION_ID_DIFF,0)))</f>
        <v>без дифференциации</v>
      </c>
      <c r="J27" s="2332"/>
      <c r="AF27" s="1558">
        <v>11</v>
      </c>
    </row>
    <row r="28" spans="1:32" ht="11.45" customHeight="1">
      <c r="E28" s="2570" t="s">
        <v>307</v>
      </c>
      <c r="F28" s="2571"/>
      <c r="G28" s="2571"/>
      <c r="H28" s="1572"/>
      <c r="I28" s="1572"/>
      <c r="J28" s="2332"/>
      <c r="AF28" s="1558">
        <v>11</v>
      </c>
    </row>
    <row r="29" spans="1:32" ht="24" customHeight="1">
      <c r="E29" s="1573" t="s">
        <v>89</v>
      </c>
      <c r="F29" s="1580" t="s">
        <v>309</v>
      </c>
      <c r="G29" s="1580" t="s">
        <v>575</v>
      </c>
      <c r="H29" s="1580" t="s">
        <v>310</v>
      </c>
      <c r="I29" s="1580" t="s">
        <v>310</v>
      </c>
      <c r="J29" s="2332"/>
      <c r="AF29" s="1558">
        <v>23</v>
      </c>
    </row>
    <row r="30" spans="1:32"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561</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561</v>
      </c>
      <c r="H31" s="495">
        <f>SUMIF($K33:$K71,$K31,H33:H71)</f>
        <v>0</v>
      </c>
      <c r="I31" s="495">
        <f>SUMIF($K33:$K71,$K31,I33:I71)</f>
        <v>0</v>
      </c>
      <c r="J31" s="227" t="str">
        <f>FHD_NOTE_P_2</f>
        <v>Указывается суммарная себестоимость производимых товаров.</v>
      </c>
      <c r="K31" s="1563" t="s">
        <v>576</v>
      </c>
      <c r="AF31" s="1558">
        <v>11</v>
      </c>
    </row>
    <row r="32" spans="1:32" ht="11.45" customHeight="1">
      <c r="D32" s="1565"/>
      <c r="E32" s="483" t="str">
        <f>FHD_NUM_P_3</f>
        <v>2.1</v>
      </c>
      <c r="F32" s="1451" t="str">
        <f>FHD_P_3</f>
        <v>Расходы на приобретаемую тепловую энергию (мощность), теплоноситель</v>
      </c>
      <c r="G32" s="1803" t="s">
        <v>561</v>
      </c>
      <c r="H32" s="494"/>
      <c r="I32" s="494"/>
      <c r="J32" s="227" t="str">
        <f>FHD_NOTE_P_3</f>
        <v/>
      </c>
      <c r="K32" s="1563" t="str">
        <f t="shared" ref="K32:K70" si="0">IF((LEN(E32)-LEN(SUBSTITUTE(E32,".","")))/LEN(".")=1,"p","")</f>
        <v>p</v>
      </c>
      <c r="AF32" s="1558">
        <v>11</v>
      </c>
    </row>
    <row r="33" spans="1:32" ht="11.25" customHeight="1">
      <c r="A33" s="2566" t="s">
        <v>577</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561</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s="1568" customFormat="1" ht="0.75" customHeight="1">
      <c r="A34" s="2566"/>
      <c r="B34" s="2567"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customHeight="1">
      <c r="A35" s="2566"/>
      <c r="B35" s="2567"/>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customHeight="1">
      <c r="A36" s="2566"/>
      <c r="B36" s="2567"/>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customHeight="1">
      <c r="A37" s="2566"/>
      <c r="B37" s="2567"/>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customHeight="1">
      <c r="A38" s="2566"/>
      <c r="B38" s="2567"/>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customHeight="1">
      <c r="A39" s="2566"/>
      <c r="B39" s="2567"/>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customHeight="1">
      <c r="A40" s="2566"/>
      <c r="C40" s="1563"/>
      <c r="D40" s="1560"/>
      <c r="E40" s="507"/>
      <c r="F40" s="508" t="s">
        <v>578</v>
      </c>
      <c r="G40" s="509"/>
      <c r="H40" s="510"/>
      <c r="I40" s="510"/>
      <c r="J40" s="239"/>
      <c r="K40" s="1563" t="str">
        <f t="shared" si="0"/>
        <v/>
      </c>
      <c r="L40" s="1563"/>
      <c r="M40" s="1563"/>
      <c r="R40" s="1563"/>
      <c r="U40" s="481"/>
      <c r="AA40" s="1559"/>
      <c r="AB40" s="1559"/>
      <c r="AC40" s="1559"/>
      <c r="AD40" s="1559"/>
      <c r="AE40" s="1559"/>
      <c r="AF40" s="1087">
        <v>0</v>
      </c>
    </row>
    <row r="41" spans="1:32" ht="11.25" hidden="1" customHeight="1">
      <c r="A41" s="2566" t="s">
        <v>579</v>
      </c>
      <c r="D41" s="1565"/>
      <c r="E41" s="483" t="str">
        <f>FHD_NUM_P_5</f>
        <v/>
      </c>
      <c r="F41" s="1451" t="str">
        <f>FHD_P_5</f>
        <v/>
      </c>
      <c r="G41" s="1803" t="s">
        <v>561</v>
      </c>
      <c r="H41" s="494"/>
      <c r="I41" s="494"/>
      <c r="J41" s="227" t="str">
        <f>FHD_NOTE_P_5</f>
        <v/>
      </c>
      <c r="K41" s="1563" t="str">
        <f t="shared" si="0"/>
        <v/>
      </c>
      <c r="AF41" s="1558">
        <v>0</v>
      </c>
    </row>
    <row r="42" spans="1:32" ht="11.25" hidden="1" customHeight="1">
      <c r="A42" s="2566"/>
      <c r="D42" s="1565"/>
      <c r="E42" s="483" t="str">
        <f>FHD_NUM_P_6</f>
        <v/>
      </c>
      <c r="F42" s="1451" t="str">
        <f>FHD_P_6</f>
        <v/>
      </c>
      <c r="G42" s="1803" t="s">
        <v>561</v>
      </c>
      <c r="H42" s="494"/>
      <c r="I42" s="494"/>
      <c r="J42" s="227" t="str">
        <f>FHD_NOTE_P_6</f>
        <v/>
      </c>
      <c r="K42" s="1563" t="str">
        <f t="shared" si="0"/>
        <v/>
      </c>
      <c r="AF42" s="1558">
        <v>0</v>
      </c>
    </row>
    <row r="43" spans="1:32" ht="11.25" hidden="1" customHeight="1">
      <c r="A43" s="2566"/>
      <c r="D43" s="1565"/>
      <c r="E43" s="483" t="str">
        <f>FHD_NUM_P_7</f>
        <v/>
      </c>
      <c r="F43" s="1451" t="str">
        <f>FHD_P_7</f>
        <v/>
      </c>
      <c r="G43" s="1803" t="s">
        <v>561</v>
      </c>
      <c r="H43" s="494"/>
      <c r="I43" s="494"/>
      <c r="J43" s="227" t="str">
        <f>FHD_NOTE_P_7</f>
        <v/>
      </c>
      <c r="K43" s="1563" t="str">
        <f t="shared" si="0"/>
        <v/>
      </c>
      <c r="AF43" s="1558">
        <v>0</v>
      </c>
    </row>
    <row r="44" spans="1:32"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561</v>
      </c>
      <c r="H44" s="494"/>
      <c r="I44" s="494"/>
      <c r="J44" s="227" t="str">
        <f>FHD_NOTE_P_8</f>
        <v/>
      </c>
      <c r="K44" s="1563" t="str">
        <f t="shared" si="0"/>
        <v>p</v>
      </c>
      <c r="AF44" s="1558">
        <v>11</v>
      </c>
    </row>
    <row r="45" spans="1:32" ht="11.45" customHeight="1">
      <c r="D45" s="1565"/>
      <c r="E45" s="483" t="str">
        <f>FHD_NUM_P_9</f>
        <v>2.3.1</v>
      </c>
      <c r="F45" s="1577" t="str">
        <f>FHD_P_9</f>
        <v>Средневзвешенная стоимость 1 кВт.ч (с учетом мощности)</v>
      </c>
      <c r="G45" s="1803" t="s">
        <v>580</v>
      </c>
      <c r="H45" s="494"/>
      <c r="I45" s="494"/>
      <c r="J45" s="227" t="str">
        <f>FHD_NOTE_P_9</f>
        <v/>
      </c>
      <c r="K45" s="1563" t="str">
        <f t="shared" si="0"/>
        <v/>
      </c>
      <c r="AF45" s="1558">
        <v>11</v>
      </c>
    </row>
    <row r="46" spans="1:32" s="1293" customFormat="1" ht="11.45" customHeight="1">
      <c r="A46" s="917"/>
      <c r="C46" s="1563"/>
      <c r="D46" s="511"/>
      <c r="E46" s="483" t="str">
        <f>FHD_NUM_P_10</f>
        <v>2.3.2</v>
      </c>
      <c r="F46" s="1577" t="str">
        <f>FHD_P_10</f>
        <v>Объём приобретения электрической энергии</v>
      </c>
      <c r="G46" s="1803" t="s">
        <v>581</v>
      </c>
      <c r="H46" s="494"/>
      <c r="I46" s="494"/>
      <c r="J46" s="227" t="str">
        <f>FHD_NOTE_P_10</f>
        <v/>
      </c>
      <c r="K46" s="1563" t="str">
        <f t="shared" si="0"/>
        <v/>
      </c>
      <c r="L46" s="1563"/>
      <c r="M46" s="1563"/>
      <c r="R46" s="1563"/>
      <c r="U46" s="481"/>
      <c r="AA46" s="1559"/>
      <c r="AB46" s="1559"/>
      <c r="AC46" s="1559"/>
      <c r="AD46" s="1559"/>
      <c r="AE46" s="1559"/>
      <c r="AF46" s="1087">
        <v>11</v>
      </c>
    </row>
    <row r="47" spans="1:32" s="1293" customFormat="1" ht="11.25" customHeight="1">
      <c r="A47" s="919" t="s">
        <v>582</v>
      </c>
      <c r="C47" s="1563"/>
      <c r="D47" s="512"/>
      <c r="E47" s="483" t="str">
        <f>FHD_NUM_P_11</f>
        <v>2.4</v>
      </c>
      <c r="F47" s="1451" t="str">
        <f>FHD_P_11</f>
        <v>Расходы на приобретение холодной воды, используемой в технологическом процессе</v>
      </c>
      <c r="G47" s="1803" t="s">
        <v>561</v>
      </c>
      <c r="H47" s="494"/>
      <c r="I47" s="494"/>
      <c r="J47" s="227" t="str">
        <f>FHD_NOTE_P_11</f>
        <v/>
      </c>
      <c r="K47" s="1563" t="str">
        <f t="shared" si="0"/>
        <v>p</v>
      </c>
      <c r="L47" s="1563"/>
      <c r="M47" s="1563"/>
      <c r="R47" s="1563"/>
      <c r="U47" s="481"/>
      <c r="AA47" s="1559"/>
      <c r="AB47" s="1559"/>
      <c r="AC47" s="1559"/>
      <c r="AD47" s="1559"/>
      <c r="AE47" s="1559"/>
      <c r="AF47" s="1087">
        <v>0</v>
      </c>
    </row>
    <row r="48" spans="1:32" s="1293" customFormat="1" ht="18.75" customHeight="1">
      <c r="A48" s="919" t="s">
        <v>583</v>
      </c>
      <c r="C48" s="1563"/>
      <c r="D48" s="1565"/>
      <c r="E48" s="483" t="str">
        <f>FHD_NUM_P_12</f>
        <v>2.5</v>
      </c>
      <c r="F48" s="1451" t="str">
        <f>FHD_P_12</f>
        <v>Расходы на  химические реагенты, используемые в технологическом процессе</v>
      </c>
      <c r="G48" s="1803" t="s">
        <v>561</v>
      </c>
      <c r="H48" s="514"/>
      <c r="I48" s="514"/>
      <c r="J48" s="227"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561</v>
      </c>
      <c r="H49" s="494"/>
      <c r="I49" s="494"/>
      <c r="J49" s="227" t="str">
        <f>FHD_NOTE_P_13</f>
        <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561</v>
      </c>
      <c r="H50" s="494"/>
      <c r="I50" s="494"/>
      <c r="J50" s="227"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561</v>
      </c>
      <c r="H51" s="494"/>
      <c r="I51" s="494"/>
      <c r="J51" s="227"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561</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561</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561</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561</v>
      </c>
      <c r="H55" s="494"/>
      <c r="I55" s="494"/>
      <c r="J55" s="227"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3" t="s">
        <v>561</v>
      </c>
      <c r="H56" s="494"/>
      <c r="I56" s="494"/>
      <c r="J56" s="227"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3" t="s">
        <v>561</v>
      </c>
      <c r="H57" s="494"/>
      <c r="I57" s="494"/>
      <c r="J57" s="227"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561</v>
      </c>
      <c r="H58" s="494"/>
      <c r="I58" s="494"/>
      <c r="J58" s="227"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3" t="s">
        <v>561</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3" t="s">
        <v>561</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3" t="s">
        <v>561</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3" t="s">
        <v>561</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3" t="s">
        <v>561</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3" t="s">
        <v>561</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3" t="s">
        <v>561</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313</v>
      </c>
      <c r="H66" s="1576" t="s">
        <v>584</v>
      </c>
      <c r="I66" s="1576" t="s">
        <v>584</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hidden="1" customHeight="1">
      <c r="A67" s="2566" t="s">
        <v>585</v>
      </c>
      <c r="C67" s="1563"/>
      <c r="D67" s="1565"/>
      <c r="E67" s="483" t="str">
        <f>FHD_NUM_P_31</f>
        <v/>
      </c>
      <c r="F67" s="1451" t="str">
        <f>FHD_P_31</f>
        <v/>
      </c>
      <c r="G67" s="1803" t="s">
        <v>561</v>
      </c>
      <c r="H67" s="494"/>
      <c r="I67" s="494"/>
      <c r="J67" s="227" t="str">
        <f>FHD_NOTE_P_31</f>
        <v/>
      </c>
      <c r="K67" s="1563" t="str">
        <f t="shared" si="0"/>
        <v/>
      </c>
      <c r="L67" s="1563"/>
      <c r="M67" s="1563"/>
      <c r="R67" s="1563"/>
      <c r="U67" s="481"/>
      <c r="AA67" s="1559"/>
      <c r="AB67" s="1559"/>
      <c r="AC67" s="1559"/>
      <c r="AD67" s="1559"/>
      <c r="AE67" s="1559"/>
      <c r="AF67" s="1087">
        <v>22</v>
      </c>
    </row>
    <row r="68" spans="1:32" s="1293" customFormat="1" ht="47.25" hidden="1" customHeight="1">
      <c r="A68" s="2566"/>
      <c r="C68" s="1563"/>
      <c r="D68" s="1565"/>
      <c r="E68" s="483" t="str">
        <f>FHD_NUM_P_32</f>
        <v/>
      </c>
      <c r="F68" s="1577" t="str">
        <f>FHD_P_32</f>
        <v/>
      </c>
      <c r="G68" s="1803" t="s">
        <v>313</v>
      </c>
      <c r="H68" s="1576" t="s">
        <v>584</v>
      </c>
      <c r="I68" s="1576" t="s">
        <v>584</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561</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2.13.0</v>
      </c>
      <c r="F70" s="921"/>
      <c r="G70" s="943"/>
      <c r="H70" s="922"/>
      <c r="I70" s="922"/>
      <c r="J70" s="923"/>
      <c r="K70" s="1563" t="str">
        <f t="shared" si="0"/>
        <v/>
      </c>
      <c r="AF70" s="1563">
        <v>1</v>
      </c>
    </row>
    <row r="71" spans="1:32" s="1293" customFormat="1" ht="14.65" customHeight="1">
      <c r="A71" s="917"/>
      <c r="C71" s="1563"/>
      <c r="D71" s="1560"/>
      <c r="E71" s="507"/>
      <c r="F71" s="508" t="s">
        <v>586</v>
      </c>
      <c r="G71" s="509"/>
      <c r="H71" s="510"/>
      <c r="I71" s="510"/>
      <c r="J71" s="239"/>
      <c r="K71" s="1563"/>
      <c r="L71" s="1563"/>
      <c r="M71" s="1563"/>
      <c r="R71" s="1563"/>
      <c r="U71" s="481"/>
      <c r="AA71" s="1559"/>
      <c r="AB71" s="1559"/>
      <c r="AC71" s="1559"/>
      <c r="AD71" s="1559"/>
      <c r="AE71" s="1559"/>
      <c r="AF71" s="1087">
        <v>14</v>
      </c>
    </row>
    <row r="72" spans="1:32" s="1293" customFormat="1" ht="18.75" customHeight="1">
      <c r="A72" s="919" t="s">
        <v>587</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561</v>
      </c>
      <c r="H72" s="494"/>
      <c r="I72" s="494"/>
      <c r="J72" s="227"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561</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561</v>
      </c>
      <c r="H74" s="494"/>
      <c r="I74" s="494"/>
      <c r="J74" s="227"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5</v>
      </c>
      <c r="F75" s="1805" t="str">
        <f>FHD_P_37</f>
        <v>Изменение стоимости основных фондов, в том числе:</v>
      </c>
      <c r="G75" s="1803" t="s">
        <v>561</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5.1</v>
      </c>
      <c r="F76" s="1451" t="str">
        <f>FHD_P_38</f>
        <v>Изменение стоимости основных фондов за счет:</v>
      </c>
      <c r="G76" s="1803" t="s">
        <v>561</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5.1.1</v>
      </c>
      <c r="F77" s="1577" t="str">
        <f>FHD_P_39</f>
        <v>Изменения стоимости основных фондов за счет их ввода в эксплуатацию</v>
      </c>
      <c r="G77" s="1994" t="s">
        <v>561</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5.1.2</v>
      </c>
      <c r="F78" s="1998" t="str">
        <f>FHD_P_40</f>
        <v>Изменения стоимости основных фондов за счет их вывода в эксплуатацию</v>
      </c>
      <c r="G78" s="1993" t="s">
        <v>561</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5.2</v>
      </c>
      <c r="F79" s="1997" t="str">
        <f>FHD_P_41</f>
        <v>Изменение стоимости основных фондов за счет их переоценки</v>
      </c>
      <c r="G79" s="1993" t="s">
        <v>561</v>
      </c>
      <c r="H79" s="906"/>
      <c r="I79" s="494"/>
      <c r="J79" s="227" t="str">
        <f>FHD_NOTE_P_41</f>
        <v/>
      </c>
      <c r="K79" s="480"/>
      <c r="L79" s="1563"/>
      <c r="M79" s="1563"/>
      <c r="R79" s="1563"/>
      <c r="U79" s="481"/>
      <c r="AA79" s="1559"/>
      <c r="AB79" s="1559"/>
      <c r="AC79" s="1559"/>
      <c r="AD79" s="1559"/>
      <c r="AE79" s="1559"/>
      <c r="AF79" s="1087">
        <v>19</v>
      </c>
    </row>
    <row r="80" spans="1:32" s="1293" customFormat="1" ht="20.25" hidden="1" customHeight="1">
      <c r="A80" s="919" t="s">
        <v>588</v>
      </c>
      <c r="C80" s="1563"/>
      <c r="D80" s="1565"/>
      <c r="E80" s="483" t="str">
        <f>FHD_NUM_P_42</f>
        <v/>
      </c>
      <c r="F80" s="1995" t="str">
        <f>FHD_P_42</f>
        <v/>
      </c>
      <c r="G80" s="1993" t="s">
        <v>561</v>
      </c>
      <c r="H80" s="906"/>
      <c r="I80" s="494"/>
      <c r="J80" s="227"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313</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566" t="s">
        <v>589</v>
      </c>
      <c r="C82" s="672"/>
      <c r="D82" s="670"/>
      <c r="E82" s="483" t="str">
        <f>FHD_NUM_P_44</f>
        <v/>
      </c>
      <c r="F82" s="1805" t="str">
        <f>FHD_P_44</f>
        <v/>
      </c>
      <c r="G82" s="1806" t="s">
        <v>590</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2566"/>
      <c r="C83" s="672"/>
      <c r="D83" s="670"/>
      <c r="E83" s="483" t="str">
        <f>FHD_NUM_P_45</f>
        <v/>
      </c>
      <c r="F83" s="1805" t="str">
        <f>FHD_P_45</f>
        <v/>
      </c>
      <c r="G83" s="1806" t="s">
        <v>590</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2566"/>
      <c r="C84" s="672"/>
      <c r="D84" s="675"/>
      <c r="E84" s="483" t="str">
        <f>FHD_NUM_P_46</f>
        <v/>
      </c>
      <c r="F84" s="1805" t="str">
        <f>FHD_P_46</f>
        <v/>
      </c>
      <c r="G84" s="1806" t="s">
        <v>590</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2566"/>
      <c r="C85" s="672"/>
      <c r="D85" s="670"/>
      <c r="E85" s="483" t="str">
        <f>FHD_NUM_P_47</f>
        <v/>
      </c>
      <c r="F85" s="1805" t="str">
        <f>FHD_P_47</f>
        <v/>
      </c>
      <c r="G85" s="1806" t="s">
        <v>590</v>
      </c>
      <c r="H85" s="907"/>
      <c r="I85" s="514"/>
      <c r="J85" s="227" t="str">
        <f>FHD_NOTE_P_47</f>
        <v/>
      </c>
      <c r="K85" s="671"/>
      <c r="L85" s="672"/>
      <c r="M85" s="672"/>
      <c r="R85" s="672"/>
      <c r="U85" s="673"/>
      <c r="AA85" s="674"/>
      <c r="AB85" s="674"/>
      <c r="AC85" s="674"/>
      <c r="AD85" s="674"/>
      <c r="AE85" s="674"/>
      <c r="AF85" s="840">
        <v>0</v>
      </c>
    </row>
    <row r="86" spans="1:32" s="1562" customFormat="1" ht="18.75" hidden="1" customHeight="1">
      <c r="A86" s="2566"/>
      <c r="B86" s="840"/>
      <c r="C86" s="672"/>
      <c r="D86" s="670"/>
      <c r="E86" s="483" t="str">
        <f>FHD_NUM_P_48</f>
        <v/>
      </c>
      <c r="F86" s="1805" t="str">
        <f>FHD_P_48</f>
        <v/>
      </c>
      <c r="G86" s="1806" t="s">
        <v>590</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566"/>
      <c r="B87" s="840"/>
      <c r="C87" s="672"/>
      <c r="D87" s="670"/>
      <c r="E87" s="483" t="str">
        <f>FHD_NUM_P_49</f>
        <v/>
      </c>
      <c r="F87" s="1805" t="str">
        <f>FHD_P_49</f>
        <v/>
      </c>
      <c r="G87" s="1806" t="s">
        <v>590</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566"/>
      <c r="B88" s="840"/>
      <c r="C88" s="672"/>
      <c r="D88" s="670"/>
      <c r="E88" s="483" t="str">
        <f>FHD_NUM_P_50</f>
        <v/>
      </c>
      <c r="F88" s="1805" t="str">
        <f>FHD_P_50</f>
        <v/>
      </c>
      <c r="G88" s="1806" t="s">
        <v>590</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566"/>
      <c r="B89" s="840"/>
      <c r="C89" s="672"/>
      <c r="D89" s="670"/>
      <c r="E89" s="483" t="str">
        <f>FHD_NUM_P_51</f>
        <v/>
      </c>
      <c r="F89" s="1805" t="str">
        <f>FHD_P_51</f>
        <v/>
      </c>
      <c r="G89" s="1806" t="s">
        <v>590</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566"/>
      <c r="B90" s="840"/>
      <c r="C90" s="672"/>
      <c r="D90" s="670"/>
      <c r="E90" s="483" t="str">
        <f>FHD_NUM_P_52</f>
        <v/>
      </c>
      <c r="F90" s="1805" t="str">
        <f>FHD_P_52</f>
        <v/>
      </c>
      <c r="G90" s="1806" t="s">
        <v>567</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566" t="s">
        <v>591</v>
      </c>
      <c r="C91" s="672"/>
      <c r="D91" s="670"/>
      <c r="E91" s="483" t="str">
        <f>FHD_NUM_P_53</f>
        <v/>
      </c>
      <c r="F91" s="1805" t="str">
        <f>FHD_P_53</f>
        <v/>
      </c>
      <c r="G91" s="1806" t="s">
        <v>590</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2566"/>
      <c r="C92" s="672"/>
      <c r="D92" s="670"/>
      <c r="E92" s="483" t="str">
        <f>FHD_NUM_P_54</f>
        <v/>
      </c>
      <c r="F92" s="1805" t="str">
        <f>FHD_P_54</f>
        <v/>
      </c>
      <c r="G92" s="1806" t="s">
        <v>590</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2566"/>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2566"/>
      <c r="C94" s="672"/>
      <c r="D94" s="670"/>
      <c r="E94" s="483" t="str">
        <f>FHD_NUM_P_56</f>
        <v/>
      </c>
      <c r="F94" s="1805" t="str">
        <f>FHD_P_56</f>
        <v/>
      </c>
      <c r="G94" s="1806" t="s">
        <v>592</v>
      </c>
      <c r="H94" s="907"/>
      <c r="I94" s="514"/>
      <c r="J94" s="227" t="str">
        <f>FHD_NOTE_P_56</f>
        <v/>
      </c>
      <c r="K94" s="671"/>
      <c r="L94" s="672"/>
      <c r="M94" s="672"/>
      <c r="R94" s="672"/>
      <c r="U94" s="673"/>
      <c r="AA94" s="674"/>
      <c r="AB94" s="674"/>
      <c r="AC94" s="674"/>
      <c r="AD94" s="674"/>
      <c r="AE94" s="674"/>
      <c r="AF94" s="840">
        <v>0</v>
      </c>
    </row>
    <row r="95" spans="1:32" s="1562" customFormat="1" ht="18.75" hidden="1" customHeight="1">
      <c r="A95" s="2566"/>
      <c r="B95" s="840"/>
      <c r="C95" s="672"/>
      <c r="D95" s="670"/>
      <c r="E95" s="483" t="str">
        <f>FHD_NUM_P_57</f>
        <v/>
      </c>
      <c r="F95" s="1805" t="str">
        <f>FHD_P_57</f>
        <v/>
      </c>
      <c r="G95" s="1806" t="s">
        <v>567</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566" t="s">
        <v>593</v>
      </c>
      <c r="D96" s="1565"/>
      <c r="E96" s="483" t="str">
        <f>FHD_NUM_P_58</f>
        <v/>
      </c>
      <c r="F96" s="1805" t="str">
        <f>FHD_P_58</f>
        <v/>
      </c>
      <c r="G96" s="1806" t="s">
        <v>590</v>
      </c>
      <c r="H96" s="907"/>
      <c r="I96" s="514"/>
      <c r="J96" s="227" t="str">
        <f>FHD_NOTE_P_58</f>
        <v/>
      </c>
      <c r="K96" s="480"/>
      <c r="AF96" s="1558">
        <v>0</v>
      </c>
    </row>
    <row r="97" spans="1:32" ht="18.75" hidden="1" customHeight="1">
      <c r="A97" s="2566"/>
      <c r="D97" s="1565"/>
      <c r="E97" s="483" t="str">
        <f>FHD_NUM_P_59</f>
        <v/>
      </c>
      <c r="F97" s="1805" t="str">
        <f>FHD_P_59</f>
        <v/>
      </c>
      <c r="G97" s="1806" t="s">
        <v>590</v>
      </c>
      <c r="H97" s="907"/>
      <c r="I97" s="514"/>
      <c r="J97" s="227" t="str">
        <f>FHD_NOTE_P_59</f>
        <v/>
      </c>
      <c r="K97" s="480"/>
      <c r="AF97" s="1558">
        <v>0</v>
      </c>
    </row>
    <row r="98" spans="1:32" ht="18.75" hidden="1" customHeight="1">
      <c r="A98" s="2566"/>
      <c r="D98" s="1565"/>
      <c r="E98" s="483" t="str">
        <f>FHD_NUM_P_60</f>
        <v/>
      </c>
      <c r="F98" s="1805" t="str">
        <f>FHD_P_60</f>
        <v/>
      </c>
      <c r="G98" s="1806" t="s">
        <v>590</v>
      </c>
      <c r="H98" s="907"/>
      <c r="I98" s="514"/>
      <c r="J98" s="227" t="str">
        <f>FHD_NOTE_P_60</f>
        <v/>
      </c>
      <c r="K98" s="480"/>
      <c r="AF98" s="1558">
        <v>0</v>
      </c>
    </row>
    <row r="99" spans="1:32" s="1293" customFormat="1" ht="18.75" customHeight="1">
      <c r="A99" s="2566" t="s">
        <v>594</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565</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s="1569" customFormat="1" ht="0.75" customHeight="1">
      <c r="A100" s="2566"/>
      <c r="D100" s="485"/>
      <c r="E100" s="943" t="str">
        <f>E99&amp;".0"</f>
        <v>7.0</v>
      </c>
      <c r="F100" s="924"/>
      <c r="G100" s="925"/>
      <c r="H100" s="922"/>
      <c r="I100" s="922"/>
      <c r="J100" s="926"/>
      <c r="AF100" s="1563">
        <v>0</v>
      </c>
    </row>
    <row r="101" spans="1:32" ht="15" customHeight="1">
      <c r="A101" s="2566"/>
      <c r="D101" s="1560"/>
      <c r="E101" s="901"/>
      <c r="F101" s="902" t="s">
        <v>595</v>
      </c>
      <c r="G101" s="509"/>
      <c r="H101" s="510"/>
      <c r="I101" s="510"/>
      <c r="J101" s="934" t="s">
        <v>596</v>
      </c>
      <c r="K101" s="480"/>
      <c r="AF101" s="1558">
        <v>0</v>
      </c>
    </row>
    <row r="102" spans="1:32" s="1293" customFormat="1" ht="18.75" customHeight="1">
      <c r="A102" s="2566"/>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565</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s="1293" customFormat="1" ht="18.75" customHeight="1">
      <c r="A103" s="2566"/>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592</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s="1293" customFormat="1" ht="18.75" customHeight="1">
      <c r="A104" s="2566"/>
      <c r="C104" s="1563" t="s">
        <v>597</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592</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s="1293" customFormat="1" ht="18.75" customHeight="1">
      <c r="A105" s="2566"/>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592</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s="1293" customFormat="1" ht="18.75" customHeight="1">
      <c r="A106" s="2566"/>
      <c r="C106" s="1563"/>
      <c r="D106" s="1565"/>
      <c r="E106" s="483" t="str">
        <f>FHD_NUM_P_66</f>
        <v>10.1</v>
      </c>
      <c r="F106" s="1451" t="str">
        <f>FHD_P_66</f>
        <v xml:space="preserve">По приборам учёта </v>
      </c>
      <c r="G106" s="1802" t="s">
        <v>592</v>
      </c>
      <c r="H106" s="514"/>
      <c r="I106" s="514"/>
      <c r="J106" s="227" t="str">
        <f>FHD_NOTE_P_66</f>
        <v/>
      </c>
      <c r="K106" s="480"/>
      <c r="L106" s="1563"/>
      <c r="M106" s="1563"/>
      <c r="R106" s="1563"/>
      <c r="U106" s="481"/>
      <c r="AA106" s="1559"/>
      <c r="AB106" s="1559"/>
      <c r="AC106" s="1559"/>
      <c r="AD106" s="1559"/>
      <c r="AE106" s="1559"/>
      <c r="AF106" s="1087">
        <v>0</v>
      </c>
    </row>
    <row r="107" spans="1:32" s="1293" customFormat="1" ht="18.75" customHeight="1">
      <c r="A107" s="2566"/>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592</v>
      </c>
      <c r="H107" s="514"/>
      <c r="I107" s="514"/>
      <c r="J107" s="227" t="str">
        <f>FHD_NOTE_P_67</f>
        <v/>
      </c>
      <c r="K107" s="480"/>
      <c r="L107" s="1563"/>
      <c r="M107" s="1563"/>
      <c r="R107" s="1563"/>
      <c r="U107" s="481"/>
      <c r="AA107" s="1559"/>
      <c r="AB107" s="1559"/>
      <c r="AC107" s="1559"/>
      <c r="AD107" s="1559"/>
      <c r="AE107" s="1559"/>
      <c r="AF107" s="1087">
        <v>0</v>
      </c>
    </row>
    <row r="108" spans="1:32" s="1293" customFormat="1" ht="18.75" customHeight="1">
      <c r="A108" s="2566"/>
      <c r="C108" s="1563"/>
      <c r="D108" s="1565"/>
      <c r="E108" s="483" t="str">
        <f>FHD_NUM_P_68</f>
        <v>10.2</v>
      </c>
      <c r="F108" s="1451" t="str">
        <f>FHD_P_68</f>
        <v>Расчётным путём</v>
      </c>
      <c r="G108" s="1802" t="s">
        <v>592</v>
      </c>
      <c r="H108" s="514"/>
      <c r="I108" s="514"/>
      <c r="J108" s="227" t="str">
        <f>FHD_NOTE_P_68</f>
        <v/>
      </c>
      <c r="K108" s="480"/>
      <c r="L108" s="1563"/>
      <c r="M108" s="1563"/>
      <c r="R108" s="1563"/>
      <c r="U108" s="481"/>
      <c r="AA108" s="1559"/>
      <c r="AB108" s="1559"/>
      <c r="AC108" s="1559"/>
      <c r="AD108" s="1559"/>
      <c r="AE108" s="1559"/>
      <c r="AF108" s="1087">
        <v>0</v>
      </c>
    </row>
    <row r="109" spans="1:32" s="1293" customFormat="1" ht="18.75" customHeight="1">
      <c r="A109" s="2566"/>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592</v>
      </c>
      <c r="H109" s="514"/>
      <c r="I109" s="514"/>
      <c r="J109" s="227" t="str">
        <f>FHD_NOTE_P_69</f>
        <v/>
      </c>
      <c r="K109" s="480"/>
      <c r="L109" s="1563"/>
      <c r="M109" s="1563"/>
      <c r="R109" s="1563"/>
      <c r="U109" s="481"/>
      <c r="AA109" s="1559"/>
      <c r="AB109" s="1559"/>
      <c r="AC109" s="1559"/>
      <c r="AD109" s="1559"/>
      <c r="AE109" s="1559"/>
      <c r="AF109" s="1087">
        <v>0</v>
      </c>
    </row>
    <row r="110" spans="1:32" s="1293" customFormat="1" ht="22.5" customHeight="1">
      <c r="A110" s="2566"/>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598</v>
      </c>
      <c r="H110" s="494"/>
      <c r="I110" s="494"/>
      <c r="J110" s="227" t="str">
        <f>FHD_NOTE_P_70</f>
        <v/>
      </c>
      <c r="K110" s="480"/>
      <c r="L110" s="1563"/>
      <c r="M110" s="1563"/>
      <c r="R110" s="1563"/>
      <c r="U110" s="481"/>
      <c r="AA110" s="1559"/>
      <c r="AB110" s="1559"/>
      <c r="AC110" s="1559"/>
      <c r="AD110" s="1559"/>
      <c r="AE110" s="1559"/>
      <c r="AF110" s="1087">
        <v>0</v>
      </c>
    </row>
    <row r="111" spans="1:32" s="1293" customFormat="1" ht="22.5" customHeight="1">
      <c r="A111" s="2566"/>
      <c r="C111" s="1563"/>
      <c r="D111" s="1565"/>
      <c r="E111" s="483" t="str">
        <f>FHD_NUM_P_71</f>
        <v>12</v>
      </c>
      <c r="F111" s="1805" t="str">
        <f>FHD_P_71</f>
        <v>Фактический объем потерь при передаче тепловой энергии</v>
      </c>
      <c r="G111" s="1802" t="s">
        <v>598</v>
      </c>
      <c r="H111" s="494"/>
      <c r="I111" s="494"/>
      <c r="J111" s="227"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13</v>
      </c>
      <c r="F112" s="1805" t="str">
        <f>FHD_P_72</f>
        <v>Среднесписочная численность основного производственного персонала</v>
      </c>
      <c r="G112" s="1801" t="s">
        <v>599</v>
      </c>
      <c r="H112" s="514"/>
      <c r="I112" s="514"/>
      <c r="J112" s="227" t="str">
        <f>FHD_NOTE_P_72</f>
        <v/>
      </c>
      <c r="K112" s="480"/>
      <c r="AF112" s="1558">
        <v>19</v>
      </c>
    </row>
    <row r="113" spans="1:32" ht="18.75" customHeight="1">
      <c r="A113" s="919" t="s">
        <v>600</v>
      </c>
      <c r="D113" s="1565"/>
      <c r="E113" s="483" t="str">
        <f>FHD_NUM_P_73</f>
        <v>14</v>
      </c>
      <c r="F113" s="1805" t="str">
        <f>FHD_P_73</f>
        <v>Среднесписочная численность административно-управленческого персонала</v>
      </c>
      <c r="G113" s="900" t="s">
        <v>599</v>
      </c>
      <c r="H113" s="898"/>
      <c r="I113" s="898"/>
      <c r="J113" s="227" t="str">
        <f>FHD_NOTE_P_73</f>
        <v/>
      </c>
      <c r="K113" s="480"/>
      <c r="AF113" s="1558">
        <v>0</v>
      </c>
    </row>
    <row r="114" spans="1:32" ht="33.75" hidden="1" customHeight="1">
      <c r="A114" s="919" t="s">
        <v>601</v>
      </c>
      <c r="D114" s="1565"/>
      <c r="E114" s="483" t="str">
        <f>FHD_NUM_P_74</f>
        <v/>
      </c>
      <c r="F114" s="1805" t="str">
        <f>FHD_P_74</f>
        <v/>
      </c>
      <c r="G114" s="1801" t="s">
        <v>602</v>
      </c>
      <c r="H114" s="514"/>
      <c r="I114" s="514"/>
      <c r="J114" s="227" t="str">
        <f>FHD_NOTE_P_74</f>
        <v/>
      </c>
      <c r="K114" s="480"/>
      <c r="AF114" s="1558">
        <v>0</v>
      </c>
    </row>
    <row r="115" spans="1:32" s="1562" customFormat="1" ht="18.75" hidden="1" customHeight="1">
      <c r="A115" s="2566" t="s">
        <v>603</v>
      </c>
      <c r="B115" s="840"/>
      <c r="C115" s="672"/>
      <c r="D115" s="670"/>
      <c r="E115" s="483" t="str">
        <f>FHD_NUM_P_75</f>
        <v/>
      </c>
      <c r="F115" s="1805" t="str">
        <f>FHD_P_75</f>
        <v/>
      </c>
      <c r="G115" s="1801" t="s">
        <v>567</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566"/>
      <c r="B116" s="840"/>
      <c r="C116" s="672"/>
      <c r="D116" s="670"/>
      <c r="E116" s="483" t="str">
        <f>FHD_NUM_P_76</f>
        <v/>
      </c>
      <c r="F116" s="1805" t="str">
        <f>FHD_P_76</f>
        <v/>
      </c>
      <c r="G116" s="1801" t="s">
        <v>567</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566"/>
      <c r="B117" s="840"/>
      <c r="C117" s="672"/>
      <c r="D117" s="670"/>
      <c r="E117" s="483" t="str">
        <f>FHD_NUM_P_77</f>
        <v/>
      </c>
      <c r="F117" s="1805" t="str">
        <f>FHD_P_77</f>
        <v/>
      </c>
      <c r="G117" s="1801" t="s">
        <v>567</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566"/>
      <c r="D118" s="485"/>
      <c r="E118" s="943" t="str">
        <f>E117&amp;".0"</f>
        <v>.0</v>
      </c>
      <c r="F118" s="927"/>
      <c r="G118" s="1578"/>
      <c r="H118" s="922"/>
      <c r="I118" s="922"/>
      <c r="J118" s="926"/>
      <c r="AF118" s="1563">
        <v>0</v>
      </c>
    </row>
    <row r="119" spans="1:32" s="1562" customFormat="1" ht="15" hidden="1" customHeight="1">
      <c r="A119" s="2566"/>
      <c r="B119" s="840"/>
      <c r="C119" s="672"/>
      <c r="D119" s="683"/>
      <c r="E119" s="903"/>
      <c r="F119" s="904" t="s">
        <v>604</v>
      </c>
      <c r="G119" s="684"/>
      <c r="H119" s="685"/>
      <c r="I119" s="685"/>
      <c r="J119" s="933" t="s">
        <v>605</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566" t="s">
        <v>606</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569</v>
      </c>
      <c r="H120" s="514"/>
      <c r="I120" s="514"/>
      <c r="J120" s="227" t="str">
        <f>FHD_NOTE_P_78</f>
        <v/>
      </c>
      <c r="K120" s="480"/>
      <c r="AF120" s="1558">
        <v>0</v>
      </c>
    </row>
    <row r="121" spans="1:32" s="1569" customFormat="1" ht="0.75" customHeight="1">
      <c r="A121" s="2566"/>
      <c r="D121" s="485"/>
      <c r="E121" s="943" t="str">
        <f>E120&amp;".0"</f>
        <v>15.0</v>
      </c>
      <c r="F121" s="927"/>
      <c r="G121" s="1578"/>
      <c r="H121" s="922"/>
      <c r="I121" s="922"/>
      <c r="J121" s="926"/>
      <c r="AF121" s="1563">
        <v>0</v>
      </c>
    </row>
    <row r="122" spans="1:32" ht="15" customHeight="1">
      <c r="A122" s="2566"/>
      <c r="D122" s="1560"/>
      <c r="E122" s="507"/>
      <c r="F122" s="1095" t="s">
        <v>595</v>
      </c>
      <c r="G122" s="509"/>
      <c r="H122" s="510"/>
      <c r="I122" s="510"/>
      <c r="J122" s="934" t="s">
        <v>607</v>
      </c>
      <c r="K122" s="480"/>
      <c r="AF122" s="1558">
        <v>0</v>
      </c>
    </row>
    <row r="123" spans="1:32" ht="22.5" customHeight="1">
      <c r="A123" s="2566"/>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571</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s="1569" customFormat="1" ht="0.75" customHeight="1">
      <c r="A124" s="2566"/>
      <c r="D124" s="485"/>
      <c r="E124" s="943" t="str">
        <f>E123&amp;".0"</f>
        <v>16.0</v>
      </c>
      <c r="F124" s="928"/>
      <c r="G124" s="1578"/>
      <c r="H124" s="922"/>
      <c r="I124" s="922"/>
      <c r="J124" s="926"/>
      <c r="AF124" s="1563">
        <v>0</v>
      </c>
    </row>
    <row r="125" spans="1:32" ht="15" customHeight="1">
      <c r="A125" s="2566"/>
      <c r="D125" s="1560"/>
      <c r="E125" s="507"/>
      <c r="F125" s="1095" t="s">
        <v>595</v>
      </c>
      <c r="G125" s="509"/>
      <c r="H125" s="510"/>
      <c r="I125" s="510"/>
      <c r="J125" s="934" t="s">
        <v>608</v>
      </c>
      <c r="K125" s="480"/>
      <c r="AF125" s="1558">
        <v>0</v>
      </c>
    </row>
    <row r="126" spans="1:32" ht="22.5" customHeight="1">
      <c r="A126" s="2566"/>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609</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18.75" customHeight="1">
      <c r="A127" s="2566"/>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610</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18.75" customHeight="1">
      <c r="A128" s="2566"/>
      <c r="C128" s="1563" t="s">
        <v>597</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313</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8.75" customHeight="1">
      <c r="A129" s="2566"/>
      <c r="C129" s="1563" t="s">
        <v>597</v>
      </c>
      <c r="D129" s="1565"/>
      <c r="E129" s="483" t="str">
        <f>FHD_NUM_P_83</f>
        <v>19.1</v>
      </c>
      <c r="F129" s="1451" t="str">
        <f>FHD_P_83</f>
        <v>Информация о показателях физического износа объектов теплоснабжения</v>
      </c>
      <c r="G129" s="1803" t="s">
        <v>313</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75" customHeight="1">
      <c r="A130" s="2566"/>
      <c r="C130" s="1563" t="s">
        <v>597</v>
      </c>
      <c r="D130" s="1565"/>
      <c r="E130" s="483" t="str">
        <f>FHD_NUM_P_84</f>
        <v>19.2</v>
      </c>
      <c r="F130" s="1451" t="str">
        <f>FHD_P_84</f>
        <v>Информация о показателях энергетической эффективности объектов теплоснабжения</v>
      </c>
      <c r="G130" s="1803" t="s">
        <v>313</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45" customHeight="1">
      <c r="D131" s="1565"/>
      <c r="AF131" s="1558">
        <v>11</v>
      </c>
    </row>
    <row r="132" spans="1:32" ht="13.5" customHeight="1">
      <c r="D132" s="1565"/>
      <c r="E132" s="274"/>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83</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9A87E-0B25-E913-62C7-A13EAF3FBE19}">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449" t="str">
        <f>FHD20_NAME_FORM</f>
        <v>Форма 11. Информация о расходах на капитальный и текущий ремонт основных средств</v>
      </c>
      <c r="F5" s="2449"/>
      <c r="G5" s="2449"/>
      <c r="H5" s="2449"/>
      <c r="I5" s="2449"/>
      <c r="J5" s="2449"/>
      <c r="K5" s="2449"/>
      <c r="L5" s="550"/>
      <c r="M5" s="550"/>
      <c r="CF5" s="442">
        <v>28</v>
      </c>
    </row>
    <row r="6" spans="1:84" s="1562" customFormat="1" ht="16.899999999999999" customHeight="1">
      <c r="A6" s="547"/>
      <c r="B6" s="694"/>
      <c r="C6" s="446"/>
      <c r="D6" s="988"/>
      <c r="E6" s="2421" t="str">
        <f>IF(org=0,"Не определено",org)</f>
        <v>МУП "Городские тепловые сети" МО  "город Курчатов"</v>
      </c>
      <c r="F6" s="2421"/>
      <c r="G6" s="2421"/>
      <c r="H6" s="2421"/>
      <c r="I6" s="2421"/>
      <c r="J6" s="2421"/>
      <c r="K6" s="2421"/>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314" t="s">
        <v>307</v>
      </c>
      <c r="F9" s="2319"/>
      <c r="G9" s="2319"/>
      <c r="H9" s="2319"/>
      <c r="I9" s="2319"/>
      <c r="J9" s="2319"/>
      <c r="K9" s="2319"/>
      <c r="L9" s="2319"/>
      <c r="M9" s="2319"/>
      <c r="N9" s="2319"/>
      <c r="O9" s="2319"/>
      <c r="P9" s="2319"/>
      <c r="Q9" s="2319"/>
      <c r="R9" s="2313"/>
      <c r="S9" s="2332" t="s">
        <v>308</v>
      </c>
      <c r="T9" s="272"/>
      <c r="CF9" s="442">
        <v>19</v>
      </c>
    </row>
    <row r="10" spans="1:84" ht="48.2" customHeight="1">
      <c r="D10" s="488" t="s">
        <v>89</v>
      </c>
      <c r="E10" s="2332" t="s">
        <v>89</v>
      </c>
      <c r="F10" s="2332"/>
      <c r="G10" s="458" t="s">
        <v>309</v>
      </c>
      <c r="H10" s="2332" t="s">
        <v>89</v>
      </c>
      <c r="I10" s="2332"/>
      <c r="J10" s="458" t="s">
        <v>611</v>
      </c>
      <c r="K10" s="458" t="s">
        <v>612</v>
      </c>
      <c r="L10" s="2332" t="s">
        <v>89</v>
      </c>
      <c r="M10" s="2332"/>
      <c r="N10" s="458" t="s">
        <v>613</v>
      </c>
      <c r="O10" s="458" t="s">
        <v>614</v>
      </c>
      <c r="P10" s="458" t="s">
        <v>615</v>
      </c>
      <c r="Q10" s="458" t="s">
        <v>616</v>
      </c>
      <c r="R10" s="458" t="s">
        <v>617</v>
      </c>
      <c r="S10" s="2332"/>
      <c r="T10" s="272"/>
      <c r="CF10" s="442">
        <v>46</v>
      </c>
    </row>
    <row r="11" spans="1:84" s="1569" customFormat="1" ht="15" hidden="1" customHeight="1">
      <c r="A11" s="982"/>
      <c r="D11" s="955" t="s">
        <v>110</v>
      </c>
      <c r="E11" s="955"/>
      <c r="F11" s="955" t="s">
        <v>111</v>
      </c>
      <c r="G11" s="955" t="s">
        <v>91</v>
      </c>
      <c r="H11" s="955"/>
      <c r="I11" s="955" t="s">
        <v>92</v>
      </c>
      <c r="J11" s="955" t="s">
        <v>112</v>
      </c>
      <c r="K11" s="955" t="s">
        <v>93</v>
      </c>
      <c r="L11" s="955"/>
      <c r="M11" s="955" t="s">
        <v>94</v>
      </c>
      <c r="N11" s="955" t="s">
        <v>113</v>
      </c>
      <c r="O11" s="955" t="s">
        <v>149</v>
      </c>
      <c r="P11" s="955" t="s">
        <v>150</v>
      </c>
      <c r="Q11" s="955" t="s">
        <v>151</v>
      </c>
      <c r="R11" s="955" t="s">
        <v>152</v>
      </c>
      <c r="S11" s="955" t="s">
        <v>153</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383</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118</v>
      </c>
      <c r="B14" s="561"/>
      <c r="C14" s="561"/>
      <c r="D14" s="2572" t="s">
        <v>110</v>
      </c>
      <c r="E14" s="2579" t="s">
        <v>106</v>
      </c>
      <c r="F14" s="2580"/>
      <c r="G14" s="2581"/>
      <c r="H14" s="2575">
        <f>IF(A14="","",INDEX(DIFFERENTIATION_UNMERGE_VD,MATCH(A14,DIFFERENTIATION_ID_DIFF,0)))</f>
        <v>0</v>
      </c>
      <c r="I14" s="2575"/>
      <c r="J14" s="2575"/>
      <c r="K14" s="2575"/>
      <c r="L14" s="2575"/>
      <c r="M14" s="2575"/>
      <c r="N14" s="2575"/>
      <c r="O14" s="2575"/>
      <c r="P14" s="2575"/>
      <c r="Q14" s="2575"/>
      <c r="R14" s="2575"/>
      <c r="S14" s="656"/>
      <c r="T14" s="653"/>
      <c r="U14" s="562"/>
      <c r="V14" s="562"/>
      <c r="W14" s="563"/>
      <c r="X14" s="563"/>
      <c r="Y14" s="563"/>
      <c r="Z14" s="563"/>
      <c r="AA14" s="564"/>
      <c r="AB14" s="565"/>
      <c r="AC14" s="2578"/>
      <c r="AD14" s="566"/>
      <c r="AE14" s="567" t="s">
        <v>28</v>
      </c>
      <c r="AF14" s="567"/>
      <c r="AG14" s="568" t="s">
        <v>618</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573"/>
      <c r="E15" s="2579" t="s">
        <v>573</v>
      </c>
      <c r="F15" s="2580"/>
      <c r="G15" s="2581"/>
      <c r="H15" s="2575" t="str">
        <f>IF(A14="","",INDEX(DIFFERENTIATION_UNMERGE_AREA,MATCH(A14,DIFFERENTIATION_ID_DIFF,0)))</f>
        <v/>
      </c>
      <c r="I15" s="2575"/>
      <c r="J15" s="2575"/>
      <c r="K15" s="2575"/>
      <c r="L15" s="2575"/>
      <c r="M15" s="2575"/>
      <c r="N15" s="2575"/>
      <c r="O15" s="2575"/>
      <c r="P15" s="2575"/>
      <c r="Q15" s="2575"/>
      <c r="R15" s="2575"/>
      <c r="S15" s="656"/>
      <c r="T15" s="653"/>
      <c r="U15" s="562"/>
      <c r="V15" s="562"/>
      <c r="W15" s="563"/>
      <c r="X15" s="563"/>
      <c r="Y15" s="563"/>
      <c r="Z15" s="563"/>
      <c r="AA15" s="564"/>
      <c r="AB15" s="565"/>
      <c r="AC15" s="2578"/>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573"/>
      <c r="E16" s="2579" t="s">
        <v>574</v>
      </c>
      <c r="F16" s="2580"/>
      <c r="G16" s="2581"/>
      <c r="H16" s="2575" t="str">
        <f>IF(A14="","",INDEX(DIFFERENTIATION_UNMERGE_SYSTEM,MATCH(A14,DIFFERENTIATION_ID_DIFF,0)))</f>
        <v>без дифференциации</v>
      </c>
      <c r="I16" s="2575"/>
      <c r="J16" s="2575"/>
      <c r="K16" s="2575"/>
      <c r="L16" s="2575"/>
      <c r="M16" s="2575"/>
      <c r="N16" s="2575"/>
      <c r="O16" s="2575"/>
      <c r="P16" s="2575"/>
      <c r="Q16" s="2575"/>
      <c r="R16" s="2575"/>
      <c r="S16" s="656"/>
      <c r="T16" s="653"/>
      <c r="U16" s="562"/>
      <c r="V16" s="562"/>
      <c r="W16" s="563"/>
      <c r="X16" s="563"/>
      <c r="Y16" s="563"/>
      <c r="Z16" s="563"/>
      <c r="AA16" s="564"/>
      <c r="AB16" s="565"/>
      <c r="AC16" s="2578"/>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573"/>
      <c r="E17" s="2577" t="s">
        <v>619</v>
      </c>
      <c r="F17" s="2577"/>
      <c r="G17" s="2577"/>
      <c r="H17" s="2577"/>
      <c r="I17" s="2577"/>
      <c r="J17" s="2577"/>
      <c r="K17" s="2577"/>
      <c r="L17" s="2577"/>
      <c r="M17" s="2577"/>
      <c r="N17" s="2577"/>
      <c r="O17" s="2577"/>
      <c r="P17" s="2577"/>
      <c r="Q17" s="495">
        <f>SUMIF(T18:T19,"i",Q18:Q19)</f>
        <v>0</v>
      </c>
      <c r="R17" s="947"/>
      <c r="S17" s="827" t="s">
        <v>620</v>
      </c>
      <c r="T17" s="654" t="s">
        <v>621</v>
      </c>
      <c r="U17" s="2472">
        <v>1</v>
      </c>
      <c r="V17" s="2472" t="str">
        <f>INDEX(B_FHD_FLAG_INDEX_1,1,MATCH(A14,B_FHD_FLAG_DIFFERENTIATION,0))</f>
        <v>отсутствует</v>
      </c>
      <c r="W17" s="354"/>
      <c r="X17" s="354"/>
      <c r="Y17" s="354"/>
      <c r="Z17" s="354"/>
      <c r="AA17" s="448"/>
      <c r="AB17" s="354"/>
      <c r="AC17" s="2578"/>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573"/>
      <c r="E18" s="572"/>
      <c r="F18" s="572">
        <v>0</v>
      </c>
      <c r="G18" s="572"/>
      <c r="H18" s="572"/>
      <c r="I18" s="572"/>
      <c r="J18" s="572"/>
      <c r="K18" s="572"/>
      <c r="L18" s="572"/>
      <c r="M18" s="572"/>
      <c r="N18" s="572"/>
      <c r="O18" s="572"/>
      <c r="P18" s="572"/>
      <c r="Q18" s="572"/>
      <c r="R18" s="572"/>
      <c r="S18" s="573"/>
      <c r="T18" s="655"/>
      <c r="U18" s="2472"/>
      <c r="V18" s="2472"/>
      <c r="W18" s="448"/>
      <c r="X18" s="448"/>
      <c r="Y18" s="448"/>
      <c r="Z18" s="448"/>
      <c r="AA18" s="448"/>
      <c r="AB18" s="354"/>
      <c r="AC18" s="2578"/>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573"/>
      <c r="E19" s="586" t="s">
        <v>28</v>
      </c>
      <c r="F19" s="587" t="s">
        <v>28</v>
      </c>
      <c r="G19" s="587" t="s">
        <v>28</v>
      </c>
      <c r="H19" s="588" t="s">
        <v>28</v>
      </c>
      <c r="I19" s="588"/>
      <c r="J19" s="588"/>
      <c r="K19" s="588"/>
      <c r="L19" s="588"/>
      <c r="M19" s="588"/>
      <c r="N19" s="588"/>
      <c r="O19" s="588"/>
      <c r="P19" s="588"/>
      <c r="Q19" s="588"/>
      <c r="R19" s="589"/>
      <c r="S19" s="950"/>
      <c r="T19" s="655"/>
      <c r="U19" s="2472"/>
      <c r="V19" s="2472"/>
      <c r="W19" s="354"/>
      <c r="X19" s="354"/>
      <c r="Y19" s="354"/>
      <c r="Z19" s="354"/>
      <c r="AA19" s="448"/>
      <c r="AB19" s="354"/>
      <c r="AC19" s="2578"/>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573"/>
      <c r="E20" s="2577" t="s">
        <v>622</v>
      </c>
      <c r="F20" s="2577"/>
      <c r="G20" s="2577"/>
      <c r="H20" s="2577"/>
      <c r="I20" s="2577"/>
      <c r="J20" s="2577"/>
      <c r="K20" s="2577"/>
      <c r="L20" s="2577"/>
      <c r="M20" s="2577"/>
      <c r="N20" s="2577"/>
      <c r="O20" s="2577"/>
      <c r="P20" s="2577"/>
      <c r="Q20" s="495">
        <f>SUMIF(T21:T22,"i",Q21:Q22)</f>
        <v>0</v>
      </c>
      <c r="R20" s="947"/>
      <c r="S20" s="646" t="s">
        <v>623</v>
      </c>
      <c r="T20" s="654" t="s">
        <v>621</v>
      </c>
      <c r="U20" s="2472">
        <v>2</v>
      </c>
      <c r="V20" s="2472"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573"/>
      <c r="E21" s="572"/>
      <c r="F21" s="572">
        <v>0</v>
      </c>
      <c r="G21" s="572"/>
      <c r="H21" s="572"/>
      <c r="I21" s="572"/>
      <c r="J21" s="572"/>
      <c r="K21" s="572"/>
      <c r="L21" s="572"/>
      <c r="M21" s="572"/>
      <c r="N21" s="572"/>
      <c r="O21" s="572"/>
      <c r="P21" s="572"/>
      <c r="Q21" s="572"/>
      <c r="R21" s="572"/>
      <c r="S21" s="573"/>
      <c r="T21" s="655"/>
      <c r="U21" s="2472"/>
      <c r="V21" s="2472"/>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574"/>
      <c r="E22" s="586" t="s">
        <v>28</v>
      </c>
      <c r="F22" s="587" t="s">
        <v>28</v>
      </c>
      <c r="G22" s="587" t="s">
        <v>28</v>
      </c>
      <c r="H22" s="588" t="s">
        <v>28</v>
      </c>
      <c r="I22" s="588"/>
      <c r="J22" s="588"/>
      <c r="K22" s="588"/>
      <c r="L22" s="588"/>
      <c r="M22" s="588"/>
      <c r="N22" s="588"/>
      <c r="O22" s="588"/>
      <c r="P22" s="588"/>
      <c r="Q22" s="588"/>
      <c r="R22" s="589"/>
      <c r="S22" s="950"/>
      <c r="T22" s="655"/>
      <c r="U22" s="2472"/>
      <c r="V22" s="2472"/>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7"/>
      <c r="E23" s="977"/>
      <c r="F23" s="977"/>
      <c r="G23" s="977"/>
      <c r="H23" s="977"/>
      <c r="I23" s="977"/>
      <c r="J23" s="977"/>
      <c r="K23" s="977"/>
      <c r="L23" s="977"/>
      <c r="M23" s="977"/>
      <c r="N23" s="977"/>
      <c r="O23" s="977"/>
      <c r="P23" s="977"/>
      <c r="Q23" s="977"/>
      <c r="R23" s="977"/>
      <c r="S23" s="977"/>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576"/>
      <c r="F27" s="2576"/>
      <c r="G27" s="2576"/>
      <c r="H27" s="2576"/>
      <c r="I27" s="2576"/>
      <c r="J27" s="2576"/>
      <c r="K27" s="2576"/>
      <c r="L27" s="2576"/>
      <c r="M27" s="2576"/>
      <c r="N27" s="2576"/>
      <c r="O27" s="2576"/>
      <c r="P27" s="2576"/>
      <c r="Q27" s="2576"/>
      <c r="R27" s="2576"/>
      <c r="CF27" s="442">
        <v>11</v>
      </c>
    </row>
    <row r="28" spans="1:84" ht="11.45" customHeight="1">
      <c r="F28" s="693"/>
      <c r="G28" s="693"/>
      <c r="CF28" s="442">
        <v>11</v>
      </c>
    </row>
    <row r="29" spans="1:84" ht="11.25" hidden="1" customHeight="1">
      <c r="A29" s="547" t="s">
        <v>83</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72315-0A0B-1308-6894-59D0F19D0EF5}">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624</v>
      </c>
      <c r="C2" s="1975" t="s">
        <v>625</v>
      </c>
      <c r="D2" s="1974" t="s">
        <v>626</v>
      </c>
      <c r="E2" s="1978" t="e">
        <f>RIGHT(I2,LEN(I2)-SEARCH("#",SUBSTITUTE(I2,".","#",LEN(I2)-LEN(SUBSTITUTE(I2,".","")))))</f>
        <v>#VALUE!</v>
      </c>
      <c r="F2" s="1980">
        <f>J2</f>
        <v>0</v>
      </c>
      <c r="G2" s="1563"/>
      <c r="H2" s="1981"/>
      <c r="I2" s="1971"/>
      <c r="J2" s="477"/>
      <c r="K2" s="1941" t="s">
        <v>565</v>
      </c>
      <c r="L2" s="688"/>
      <c r="M2" s="688"/>
      <c r="N2" s="480"/>
      <c r="O2" s="1452" t="s">
        <v>566</v>
      </c>
      <c r="P2" s="480"/>
      <c r="Q2" s="1563"/>
      <c r="R2" s="1563"/>
      <c r="W2" s="1563"/>
      <c r="Z2" s="481"/>
      <c r="AF2" s="1559"/>
      <c r="AG2" s="1559"/>
      <c r="AH2" s="1559"/>
      <c r="AI2" s="1559"/>
      <c r="AJ2" s="1559"/>
      <c r="AK2" s="1293">
        <v>0</v>
      </c>
    </row>
    <row r="3" spans="1:37" ht="11.25" hidden="1" customHeight="1">
      <c r="E3" s="1973" t="s">
        <v>627</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400" t="s">
        <v>628</v>
      </c>
      <c r="J6" s="2400"/>
      <c r="K6" s="2400"/>
      <c r="L6" s="2400"/>
      <c r="M6" s="2400"/>
      <c r="O6" s="493"/>
      <c r="AK6" s="1558">
        <v>55</v>
      </c>
    </row>
    <row r="7" spans="1:37" ht="25.15" customHeight="1">
      <c r="I7" s="2421" t="str">
        <f>IF(org=0,"Не определено",org)</f>
        <v>МУП "Городские тепловые сети" МО  "город Курчатов"</v>
      </c>
      <c r="J7" s="2421"/>
      <c r="K7" s="2421"/>
      <c r="L7" s="2421"/>
      <c r="M7" s="2421"/>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118</v>
      </c>
      <c r="AK9" s="1563">
        <v>1</v>
      </c>
    </row>
    <row r="10" spans="1:37" ht="11.45" customHeight="1">
      <c r="E10" s="1972" t="s">
        <v>629</v>
      </c>
      <c r="I10" s="648"/>
      <c r="J10" s="2568" t="s">
        <v>106</v>
      </c>
      <c r="K10" s="2569"/>
      <c r="L10" s="1951" t="str">
        <f>IF(L9="","",INDEX(DIFFERENTIATION_UNMERGE_VD,MATCH(L9,DIFFERENTIATION_ID_DIFF,0)))</f>
        <v/>
      </c>
      <c r="M10" s="1951">
        <f>IF(M9="","",INDEX(DIFFERENTIATION_UNMERGE_VD,MATCH(M9,DIFFERENTIATION_ID_DIFF,0)))</f>
        <v>0</v>
      </c>
      <c r="O10" s="2332" t="s">
        <v>308</v>
      </c>
      <c r="AK10" s="1558">
        <v>11</v>
      </c>
    </row>
    <row r="11" spans="1:37" ht="11.45" customHeight="1">
      <c r="E11" s="1972" t="s">
        <v>630</v>
      </c>
      <c r="I11" s="648"/>
      <c r="J11" s="2568" t="s">
        <v>573</v>
      </c>
      <c r="K11" s="2569"/>
      <c r="L11" s="1951" t="str">
        <f>IF(L9="","",INDEX(DIFFERENTIATION_UNMERGE_AREA,MATCH(L9,DIFFERENTIATION_ID_DIFF,0)))</f>
        <v/>
      </c>
      <c r="M11" s="1951" t="str">
        <f>IF(M9="","",INDEX(DIFFERENTIATION_UNMERGE_AREA,MATCH(M9,DIFFERENTIATION_ID_DIFF,0)))</f>
        <v/>
      </c>
      <c r="O11" s="2332"/>
      <c r="AK11" s="1558">
        <v>11</v>
      </c>
    </row>
    <row r="12" spans="1:37" ht="11.45" customHeight="1">
      <c r="E12" s="1972" t="s">
        <v>631</v>
      </c>
      <c r="I12" s="1589"/>
      <c r="J12" s="2568" t="s">
        <v>574</v>
      </c>
      <c r="K12" s="2569"/>
      <c r="L12" s="1951" t="str">
        <f>IF(L9="","",INDEX(DIFFERENTIATION_UNMERGE_SYSTEM,MATCH(L9,DIFFERENTIATION_ID_DIFF,0)))</f>
        <v/>
      </c>
      <c r="M12" s="1951" t="str">
        <f>IF(M9="","",INDEX(DIFFERENTIATION_UNMERGE_SYSTEM,MATCH(M9,DIFFERENTIATION_ID_DIFF,0)))</f>
        <v>без дифференциации</v>
      </c>
      <c r="O12" s="2332"/>
      <c r="AK12" s="1558">
        <v>11</v>
      </c>
    </row>
    <row r="13" spans="1:37" ht="11.45" customHeight="1">
      <c r="E13" s="1972" t="s">
        <v>632</v>
      </c>
      <c r="F13" s="1972" t="s">
        <v>633</v>
      </c>
      <c r="I13" s="2570" t="s">
        <v>307</v>
      </c>
      <c r="J13" s="2571"/>
      <c r="K13" s="2571"/>
      <c r="L13" s="1949"/>
      <c r="M13" s="1989"/>
      <c r="O13" s="2332"/>
      <c r="AK13" s="1558">
        <v>11</v>
      </c>
    </row>
    <row r="14" spans="1:37" ht="24" customHeight="1">
      <c r="I14" s="1942" t="s">
        <v>89</v>
      </c>
      <c r="J14" s="1942" t="s">
        <v>309</v>
      </c>
      <c r="K14" s="1942" t="s">
        <v>575</v>
      </c>
      <c r="L14" s="1982" t="s">
        <v>310</v>
      </c>
      <c r="M14" s="1983" t="s">
        <v>310</v>
      </c>
      <c r="O14" s="2332"/>
      <c r="AK14" s="1558">
        <v>23</v>
      </c>
    </row>
    <row r="15" spans="1:37" ht="24" customHeight="1">
      <c r="A15" s="1976"/>
      <c r="B15" s="1975" t="s">
        <v>634</v>
      </c>
      <c r="C15" s="1975" t="s">
        <v>635</v>
      </c>
      <c r="D15" s="1974" t="s">
        <v>636</v>
      </c>
      <c r="E15" s="1978" t="s">
        <v>637</v>
      </c>
      <c r="F15" s="1978" t="s">
        <v>637</v>
      </c>
      <c r="G15" s="1563" t="s">
        <v>597</v>
      </c>
      <c r="H15" s="1943"/>
      <c r="I15" s="1557">
        <v>1</v>
      </c>
      <c r="J15" s="1944" t="s">
        <v>638</v>
      </c>
      <c r="K15" s="1942" t="s">
        <v>313</v>
      </c>
      <c r="L15" s="599"/>
      <c r="M15" s="749"/>
      <c r="N15" s="480" t="s">
        <v>639</v>
      </c>
      <c r="O15" s="1452" t="s">
        <v>640</v>
      </c>
      <c r="P15" s="480" t="s">
        <v>639</v>
      </c>
      <c r="AK15" s="1558">
        <v>23</v>
      </c>
    </row>
    <row r="16" spans="1:37" ht="35.65" customHeight="1">
      <c r="A16" s="1976"/>
      <c r="B16" s="1975" t="s">
        <v>641</v>
      </c>
      <c r="C16" s="1975" t="s">
        <v>642</v>
      </c>
      <c r="D16" s="1974" t="s">
        <v>626</v>
      </c>
      <c r="E16" s="1978" t="s">
        <v>637</v>
      </c>
      <c r="F16" s="1978" t="s">
        <v>637</v>
      </c>
      <c r="H16" s="1943"/>
      <c r="I16" s="1556">
        <v>2</v>
      </c>
      <c r="J16" s="1985" t="s">
        <v>643</v>
      </c>
      <c r="K16" s="1984" t="s">
        <v>565</v>
      </c>
      <c r="L16" s="1990"/>
      <c r="M16" s="1603"/>
      <c r="N16" s="480" t="s">
        <v>639</v>
      </c>
      <c r="O16" s="1452" t="s">
        <v>644</v>
      </c>
      <c r="P16" s="480" t="s">
        <v>639</v>
      </c>
      <c r="AK16" s="1558">
        <v>34</v>
      </c>
    </row>
    <row r="17" spans="1:37" s="1569" customFormat="1" ht="17.25" hidden="1" customHeight="1">
      <c r="A17" s="1094"/>
      <c r="B17" s="1094"/>
      <c r="C17" s="1094"/>
      <c r="D17" s="1094"/>
      <c r="E17" s="1094"/>
      <c r="H17" s="1251"/>
      <c r="I17" s="943" t="s">
        <v>645</v>
      </c>
      <c r="J17" s="921"/>
      <c r="K17" s="943"/>
      <c r="L17" s="922"/>
      <c r="M17" s="922"/>
      <c r="O17" s="1312"/>
      <c r="AK17" s="1563">
        <v>1</v>
      </c>
    </row>
    <row r="18" spans="1:37" s="1293" customFormat="1" ht="24" customHeight="1">
      <c r="A18" s="917"/>
      <c r="B18" s="917"/>
      <c r="C18" s="917"/>
      <c r="D18" s="917"/>
      <c r="E18" s="917"/>
      <c r="G18" s="1563"/>
      <c r="H18" s="1560"/>
      <c r="I18" s="507"/>
      <c r="J18" s="508" t="s">
        <v>595</v>
      </c>
      <c r="K18" s="509"/>
      <c r="L18" s="1992"/>
      <c r="M18" s="510"/>
      <c r="N18" s="480"/>
      <c r="O18" s="1452" t="s">
        <v>596</v>
      </c>
      <c r="P18" s="480"/>
      <c r="Q18" s="1563"/>
      <c r="R18" s="1563"/>
      <c r="W18" s="1563"/>
      <c r="Z18" s="481"/>
      <c r="AF18" s="1559"/>
      <c r="AG18" s="1559"/>
      <c r="AH18" s="1559"/>
      <c r="AI18" s="1559"/>
      <c r="AJ18" s="1559"/>
      <c r="AK18" s="1293">
        <v>23</v>
      </c>
    </row>
    <row r="19" spans="1:37" ht="19.899999999999999" customHeight="1">
      <c r="A19" s="1976"/>
      <c r="B19" s="1975" t="s">
        <v>646</v>
      </c>
      <c r="C19" s="1975" t="s">
        <v>647</v>
      </c>
      <c r="D19" s="1974" t="s">
        <v>626</v>
      </c>
      <c r="E19" s="1978" t="s">
        <v>637</v>
      </c>
      <c r="F19" s="1978" t="s">
        <v>637</v>
      </c>
      <c r="H19" s="1943"/>
      <c r="I19" s="1591">
        <v>3</v>
      </c>
      <c r="J19" s="1944" t="s">
        <v>647</v>
      </c>
      <c r="K19" s="1940" t="s">
        <v>565</v>
      </c>
      <c r="L19" s="664"/>
      <c r="M19" s="494"/>
      <c r="N19" s="480"/>
      <c r="O19" s="1452" t="s">
        <v>648</v>
      </c>
      <c r="P19" s="480"/>
      <c r="AK19" s="1558">
        <v>19</v>
      </c>
    </row>
    <row r="20" spans="1:37" ht="77.650000000000006" customHeight="1">
      <c r="A20" s="1976"/>
      <c r="B20" s="1975" t="s">
        <v>649</v>
      </c>
      <c r="C20" s="1975" t="s">
        <v>650</v>
      </c>
      <c r="D20" s="1974" t="s">
        <v>626</v>
      </c>
      <c r="E20" s="1978" t="s">
        <v>637</v>
      </c>
      <c r="F20" s="1978" t="s">
        <v>637</v>
      </c>
      <c r="H20" s="1943"/>
      <c r="I20" s="1591">
        <v>4</v>
      </c>
      <c r="J20" s="1944" t="s">
        <v>651</v>
      </c>
      <c r="K20" s="1940" t="s">
        <v>592</v>
      </c>
      <c r="L20" s="664"/>
      <c r="M20" s="494"/>
      <c r="N20" s="480"/>
      <c r="O20" s="1452"/>
      <c r="P20" s="480"/>
      <c r="AK20" s="1558">
        <v>74</v>
      </c>
    </row>
    <row r="21" spans="1:37" ht="35.65" customHeight="1">
      <c r="A21" s="1976"/>
      <c r="B21" s="1975" t="s">
        <v>652</v>
      </c>
      <c r="C21" s="1975" t="s">
        <v>653</v>
      </c>
      <c r="D21" s="1974" t="s">
        <v>626</v>
      </c>
      <c r="E21" s="1978" t="s">
        <v>637</v>
      </c>
      <c r="F21" s="1978" t="s">
        <v>637</v>
      </c>
      <c r="H21" s="1943"/>
      <c r="I21" s="1591">
        <v>5</v>
      </c>
      <c r="J21" s="1944" t="s">
        <v>654</v>
      </c>
      <c r="K21" s="1940" t="s">
        <v>592</v>
      </c>
      <c r="L21" s="664"/>
      <c r="M21" s="494"/>
      <c r="N21" s="480"/>
      <c r="O21" s="1452" t="s">
        <v>648</v>
      </c>
      <c r="P21" s="480"/>
      <c r="AK21" s="1558">
        <v>34</v>
      </c>
    </row>
    <row r="22" spans="1:37" ht="48.2" customHeight="1">
      <c r="A22" s="1976"/>
      <c r="B22" s="1975" t="s">
        <v>655</v>
      </c>
      <c r="C22" s="1975" t="s">
        <v>656</v>
      </c>
      <c r="D22" s="1974" t="s">
        <v>626</v>
      </c>
      <c r="E22" s="1978" t="s">
        <v>637</v>
      </c>
      <c r="F22" s="1978" t="s">
        <v>637</v>
      </c>
      <c r="H22" s="1943"/>
      <c r="I22" s="1591">
        <v>6</v>
      </c>
      <c r="J22" s="1944" t="s">
        <v>657</v>
      </c>
      <c r="K22" s="1940" t="s">
        <v>592</v>
      </c>
      <c r="L22" s="664"/>
      <c r="M22" s="494"/>
      <c r="N22" s="480"/>
      <c r="O22" s="1452" t="s">
        <v>658</v>
      </c>
      <c r="P22" s="480"/>
      <c r="AK22" s="1558">
        <v>46</v>
      </c>
    </row>
    <row r="23" spans="1:37" ht="19.899999999999999" customHeight="1">
      <c r="A23" s="1976"/>
      <c r="B23" s="1975" t="s">
        <v>659</v>
      </c>
      <c r="C23" s="1975" t="s">
        <v>660</v>
      </c>
      <c r="D23" s="1974" t="s">
        <v>626</v>
      </c>
      <c r="E23" s="1978" t="s">
        <v>637</v>
      </c>
      <c r="F23" s="1978" t="s">
        <v>637</v>
      </c>
      <c r="H23" s="1943"/>
      <c r="I23" s="1591" t="s">
        <v>661</v>
      </c>
      <c r="J23" s="1451" t="s">
        <v>662</v>
      </c>
      <c r="K23" s="1940" t="s">
        <v>592</v>
      </c>
      <c r="L23" s="664"/>
      <c r="M23" s="494"/>
      <c r="N23" s="480"/>
      <c r="O23" s="1452" t="s">
        <v>648</v>
      </c>
      <c r="P23" s="480"/>
      <c r="AK23" s="1558">
        <v>19</v>
      </c>
    </row>
    <row r="24" spans="1:37" ht="19.899999999999999" customHeight="1">
      <c r="A24" s="1976"/>
      <c r="B24" s="1975" t="s">
        <v>663</v>
      </c>
      <c r="C24" s="1975" t="s">
        <v>664</v>
      </c>
      <c r="D24" s="1974" t="s">
        <v>626</v>
      </c>
      <c r="E24" s="1978" t="s">
        <v>637</v>
      </c>
      <c r="F24" s="1978" t="s">
        <v>637</v>
      </c>
      <c r="H24" s="1943"/>
      <c r="I24" s="1591" t="s">
        <v>665</v>
      </c>
      <c r="J24" s="1451" t="s">
        <v>666</v>
      </c>
      <c r="K24" s="1940" t="s">
        <v>592</v>
      </c>
      <c r="L24" s="664"/>
      <c r="M24" s="494"/>
      <c r="N24" s="480"/>
      <c r="O24" s="1452"/>
      <c r="P24" s="480"/>
      <c r="AK24" s="1558">
        <v>19</v>
      </c>
    </row>
    <row r="25" spans="1:37" ht="24" customHeight="1">
      <c r="A25" s="1976"/>
      <c r="B25" s="1975" t="s">
        <v>667</v>
      </c>
      <c r="C25" s="1975" t="s">
        <v>668</v>
      </c>
      <c r="D25" s="1974" t="s">
        <v>626</v>
      </c>
      <c r="E25" s="1978" t="s">
        <v>637</v>
      </c>
      <c r="F25" s="1978" t="s">
        <v>637</v>
      </c>
      <c r="H25" s="1943"/>
      <c r="I25" s="1591" t="s">
        <v>669</v>
      </c>
      <c r="J25" s="1451" t="s">
        <v>670</v>
      </c>
      <c r="K25" s="1940" t="s">
        <v>592</v>
      </c>
      <c r="L25" s="664"/>
      <c r="M25" s="494"/>
      <c r="N25" s="480"/>
      <c r="O25" s="1452"/>
      <c r="P25" s="480"/>
      <c r="AK25" s="1558">
        <v>23</v>
      </c>
    </row>
    <row r="26" spans="1:37" ht="24" customHeight="1">
      <c r="A26" s="1976"/>
      <c r="B26" s="1975" t="s">
        <v>671</v>
      </c>
      <c r="C26" s="1975" t="s">
        <v>672</v>
      </c>
      <c r="D26" s="1974" t="s">
        <v>626</v>
      </c>
      <c r="E26" s="1978" t="s">
        <v>637</v>
      </c>
      <c r="F26" s="1978" t="s">
        <v>637</v>
      </c>
      <c r="H26" s="1943"/>
      <c r="I26" s="1591">
        <v>7</v>
      </c>
      <c r="J26" s="1944" t="s">
        <v>672</v>
      </c>
      <c r="K26" s="1940" t="s">
        <v>673</v>
      </c>
      <c r="L26" s="664"/>
      <c r="M26" s="494"/>
      <c r="N26" s="480"/>
      <c r="O26" s="1452"/>
      <c r="P26" s="480"/>
      <c r="AK26" s="1558">
        <v>23</v>
      </c>
    </row>
    <row r="27" spans="1:37" ht="24" customHeight="1">
      <c r="A27" s="1976"/>
      <c r="B27" s="1975" t="s">
        <v>674</v>
      </c>
      <c r="C27" s="1975" t="s">
        <v>675</v>
      </c>
      <c r="D27" s="1974" t="s">
        <v>626</v>
      </c>
      <c r="E27" s="1978" t="s">
        <v>637</v>
      </c>
      <c r="F27" s="1978" t="s">
        <v>637</v>
      </c>
      <c r="H27" s="1943"/>
      <c r="I27" s="1591">
        <v>8</v>
      </c>
      <c r="J27" s="1944" t="s">
        <v>675</v>
      </c>
      <c r="K27" s="1940" t="s">
        <v>598</v>
      </c>
      <c r="L27" s="664"/>
      <c r="M27" s="494"/>
      <c r="N27" s="480"/>
      <c r="O27" s="1452"/>
      <c r="P27" s="480"/>
      <c r="AK27" s="1558">
        <v>23</v>
      </c>
    </row>
    <row r="28" spans="1:37" ht="35.65" customHeight="1">
      <c r="A28" s="1976"/>
      <c r="B28" s="1975" t="s">
        <v>676</v>
      </c>
      <c r="C28" s="1975" t="s">
        <v>677</v>
      </c>
      <c r="D28" s="1974" t="s">
        <v>626</v>
      </c>
      <c r="E28" s="1978" t="s">
        <v>637</v>
      </c>
      <c r="F28" s="1978" t="s">
        <v>637</v>
      </c>
      <c r="H28" s="1943"/>
      <c r="I28" s="1602">
        <v>9</v>
      </c>
      <c r="J28" s="1944" t="s">
        <v>678</v>
      </c>
      <c r="K28" s="1940" t="s">
        <v>569</v>
      </c>
      <c r="L28" s="664"/>
      <c r="M28" s="494"/>
      <c r="N28" s="480"/>
      <c r="O28" s="1452"/>
      <c r="P28" s="480"/>
      <c r="AK28" s="1558">
        <v>34</v>
      </c>
    </row>
    <row r="29" spans="1:37" ht="35.65" customHeight="1">
      <c r="A29" s="1976"/>
      <c r="B29" s="1975" t="s">
        <v>679</v>
      </c>
      <c r="C29" s="1975" t="s">
        <v>680</v>
      </c>
      <c r="D29" s="1974" t="s">
        <v>626</v>
      </c>
      <c r="E29" s="1978" t="s">
        <v>637</v>
      </c>
      <c r="F29" s="1978" t="s">
        <v>637</v>
      </c>
      <c r="H29" s="1943"/>
      <c r="I29" s="1602">
        <v>10</v>
      </c>
      <c r="J29" s="1944" t="s">
        <v>681</v>
      </c>
      <c r="K29" s="1940" t="s">
        <v>569</v>
      </c>
      <c r="L29" s="664"/>
      <c r="M29" s="494"/>
      <c r="N29" s="480"/>
      <c r="O29" s="1452"/>
      <c r="P29" s="480"/>
      <c r="AK29" s="1558">
        <v>34</v>
      </c>
    </row>
    <row r="30" spans="1:37" ht="24" customHeight="1">
      <c r="A30" s="1976"/>
      <c r="B30" s="1975" t="s">
        <v>682</v>
      </c>
      <c r="C30" s="1975" t="s">
        <v>683</v>
      </c>
      <c r="D30" s="1974" t="s">
        <v>626</v>
      </c>
      <c r="E30" s="1978" t="s">
        <v>637</v>
      </c>
      <c r="F30" s="1978" t="s">
        <v>637</v>
      </c>
      <c r="H30" s="1943"/>
      <c r="I30" s="1602">
        <v>11</v>
      </c>
      <c r="J30" s="1944" t="s">
        <v>683</v>
      </c>
      <c r="K30" s="1940" t="s">
        <v>599</v>
      </c>
      <c r="L30" s="1991"/>
      <c r="M30" s="1548"/>
      <c r="N30" s="480"/>
      <c r="O30" s="1452"/>
      <c r="P30" s="480"/>
      <c r="AK30" s="1558">
        <v>23</v>
      </c>
    </row>
    <row r="31" spans="1:37" ht="24" customHeight="1">
      <c r="A31" s="1976"/>
      <c r="B31" s="1975" t="s">
        <v>684</v>
      </c>
      <c r="C31" s="1975" t="s">
        <v>685</v>
      </c>
      <c r="D31" s="1974" t="s">
        <v>626</v>
      </c>
      <c r="E31" s="1978" t="s">
        <v>637</v>
      </c>
      <c r="F31" s="1978" t="s">
        <v>637</v>
      </c>
      <c r="H31" s="1943"/>
      <c r="I31" s="1602">
        <v>12</v>
      </c>
      <c r="J31" s="1944" t="s">
        <v>685</v>
      </c>
      <c r="K31" s="1940" t="s">
        <v>599</v>
      </c>
      <c r="L31" s="1991"/>
      <c r="M31" s="1548"/>
      <c r="N31" s="480"/>
      <c r="O31" s="1452"/>
      <c r="P31" s="480"/>
      <c r="AK31" s="1558">
        <v>23</v>
      </c>
    </row>
    <row r="32" spans="1:37" ht="48.2" customHeight="1">
      <c r="A32" s="1976"/>
      <c r="B32" s="1975" t="s">
        <v>686</v>
      </c>
      <c r="C32" s="1975" t="s">
        <v>687</v>
      </c>
      <c r="D32" s="1974" t="s">
        <v>626</v>
      </c>
      <c r="E32" s="1978" t="s">
        <v>637</v>
      </c>
      <c r="F32" s="1978" t="s">
        <v>637</v>
      </c>
      <c r="H32" s="1943"/>
      <c r="I32" s="1602">
        <v>13</v>
      </c>
      <c r="J32" s="1944" t="s">
        <v>688</v>
      </c>
      <c r="K32" s="1940" t="s">
        <v>609</v>
      </c>
      <c r="L32" s="664"/>
      <c r="M32" s="494"/>
      <c r="N32" s="480"/>
      <c r="O32" s="1452" t="s">
        <v>648</v>
      </c>
      <c r="P32" s="480"/>
      <c r="AK32" s="1558">
        <v>46</v>
      </c>
    </row>
    <row r="33" spans="1:37" s="1293" customFormat="1" ht="48.2" customHeight="1">
      <c r="A33" s="1976"/>
      <c r="B33" s="1975" t="s">
        <v>689</v>
      </c>
      <c r="C33" s="1975" t="s">
        <v>690</v>
      </c>
      <c r="D33" s="1974" t="s">
        <v>626</v>
      </c>
      <c r="E33" s="1978" t="s">
        <v>637</v>
      </c>
      <c r="F33" s="1978" t="s">
        <v>637</v>
      </c>
      <c r="G33" s="1563"/>
      <c r="H33" s="1943"/>
      <c r="I33" s="1602">
        <v>14</v>
      </c>
      <c r="J33" s="1956" t="s">
        <v>691</v>
      </c>
      <c r="K33" s="1945" t="s">
        <v>692</v>
      </c>
      <c r="L33" s="664"/>
      <c r="M33" s="494"/>
      <c r="N33" s="480"/>
      <c r="O33" s="1452" t="s">
        <v>648</v>
      </c>
      <c r="P33" s="480"/>
      <c r="Q33" s="1563"/>
      <c r="R33" s="1563"/>
      <c r="W33" s="1563"/>
      <c r="Z33" s="481"/>
      <c r="AF33" s="1559"/>
      <c r="AG33" s="1559"/>
      <c r="AH33" s="1559"/>
      <c r="AI33" s="1559"/>
      <c r="AJ33" s="1559"/>
      <c r="AK33" s="1293">
        <v>46</v>
      </c>
    </row>
    <row r="34" spans="1:37" ht="108" customHeight="1">
      <c r="A34" s="1976"/>
      <c r="B34" s="1975" t="s">
        <v>693</v>
      </c>
      <c r="C34" s="1975" t="s">
        <v>694</v>
      </c>
      <c r="D34" s="1974" t="s">
        <v>636</v>
      </c>
      <c r="E34" s="1978" t="s">
        <v>637</v>
      </c>
      <c r="F34" s="1978" t="s">
        <v>637</v>
      </c>
      <c r="G34" s="1563" t="s">
        <v>597</v>
      </c>
      <c r="H34" s="1943"/>
      <c r="I34" s="1954">
        <v>15</v>
      </c>
      <c r="J34" s="1955" t="s">
        <v>695</v>
      </c>
      <c r="K34" s="1940" t="s">
        <v>313</v>
      </c>
      <c r="L34" s="322"/>
      <c r="M34" s="1091"/>
      <c r="N34" s="480"/>
      <c r="O34" s="1452" t="s">
        <v>640</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83</v>
      </c>
      <c r="B204" s="917" t="s">
        <v>150</v>
      </c>
      <c r="C204" s="917" t="s">
        <v>150</v>
      </c>
      <c r="D204" s="917" t="s">
        <v>150</v>
      </c>
      <c r="E204" s="917" t="s">
        <v>150</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D015D-A6CD-30A2-6C36-AC557764A7D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8"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696</v>
      </c>
      <c r="C2" s="1975" t="s">
        <v>697</v>
      </c>
      <c r="D2" s="1974" t="s">
        <v>636</v>
      </c>
      <c r="E2" s="1980">
        <f>I2-3</f>
        <v>-3</v>
      </c>
      <c r="F2" s="1980">
        <f>J2</f>
        <v>0</v>
      </c>
      <c r="H2" s="1656" t="s">
        <v>452</v>
      </c>
      <c r="I2" s="1946"/>
      <c r="J2" s="1609"/>
      <c r="K2" s="1940" t="s">
        <v>313</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449" t="s">
        <v>698</v>
      </c>
      <c r="J5" s="2449"/>
      <c r="K5" s="2449"/>
      <c r="L5" s="2449"/>
      <c r="M5" s="204"/>
      <c r="W5" s="1558">
        <v>48</v>
      </c>
    </row>
    <row r="6" spans="1:23" ht="18" customHeight="1">
      <c r="H6" s="313"/>
      <c r="I6" s="2421" t="str">
        <f>IF(org=0,"Не определено",org)</f>
        <v>МУП "Городские тепловые сети" МО  "город Курчатов"</v>
      </c>
      <c r="J6" s="2421"/>
      <c r="K6" s="2421"/>
      <c r="L6" s="2421"/>
      <c r="M6" s="204"/>
      <c r="W6" s="1558">
        <v>17</v>
      </c>
    </row>
    <row r="7" spans="1:23" ht="14.65" customHeight="1">
      <c r="H7" s="313"/>
      <c r="I7" s="394"/>
      <c r="J7" s="400"/>
      <c r="K7" s="400"/>
      <c r="L7" s="689"/>
      <c r="M7" s="131"/>
      <c r="W7" s="1558">
        <v>14</v>
      </c>
    </row>
    <row r="8" spans="1:23" ht="14.65" customHeight="1">
      <c r="H8" s="313"/>
      <c r="I8" s="2582" t="s">
        <v>307</v>
      </c>
      <c r="J8" s="2583"/>
      <c r="K8" s="2583"/>
      <c r="L8" s="2584"/>
      <c r="M8" s="2585" t="s">
        <v>308</v>
      </c>
      <c r="W8" s="1558">
        <v>14</v>
      </c>
    </row>
    <row r="9" spans="1:23" ht="35.65" customHeight="1">
      <c r="E9" s="1973" t="s">
        <v>627</v>
      </c>
      <c r="F9" s="1973" t="s">
        <v>633</v>
      </c>
      <c r="H9" s="313"/>
      <c r="I9" s="1947" t="s">
        <v>89</v>
      </c>
      <c r="J9" s="1948" t="s">
        <v>309</v>
      </c>
      <c r="K9" s="1986" t="s">
        <v>575</v>
      </c>
      <c r="L9" s="1987" t="s">
        <v>310</v>
      </c>
      <c r="M9" s="2585"/>
      <c r="W9" s="1558">
        <v>34</v>
      </c>
    </row>
    <row r="10" spans="1:23" ht="35.65" customHeight="1">
      <c r="B10" s="1975" t="s">
        <v>699</v>
      </c>
      <c r="C10" s="1975" t="s">
        <v>700</v>
      </c>
      <c r="D10" s="1974" t="s">
        <v>636</v>
      </c>
      <c r="E10" s="1978" t="s">
        <v>637</v>
      </c>
      <c r="F10" s="1978" t="s">
        <v>637</v>
      </c>
      <c r="H10" s="313"/>
      <c r="I10" s="1946" t="s">
        <v>110</v>
      </c>
      <c r="J10" s="1811" t="s">
        <v>701</v>
      </c>
      <c r="K10" s="1940" t="s">
        <v>313</v>
      </c>
      <c r="L10" s="749"/>
      <c r="M10" s="235" t="s">
        <v>702</v>
      </c>
      <c r="W10" s="1558">
        <v>34</v>
      </c>
    </row>
    <row r="11" spans="1:23" ht="50.25" customHeight="1">
      <c r="B11" s="1975" t="s">
        <v>703</v>
      </c>
      <c r="C11" s="1975" t="s">
        <v>704</v>
      </c>
      <c r="D11" s="1974" t="s">
        <v>636</v>
      </c>
      <c r="E11" s="1978" t="s">
        <v>637</v>
      </c>
      <c r="F11" s="1978" t="s">
        <v>637</v>
      </c>
      <c r="H11" s="313"/>
      <c r="I11" s="1946" t="s">
        <v>111</v>
      </c>
      <c r="J11" s="1811" t="s">
        <v>705</v>
      </c>
      <c r="K11" s="1940" t="s">
        <v>313</v>
      </c>
      <c r="L11" s="749"/>
      <c r="M11" s="235" t="s">
        <v>702</v>
      </c>
      <c r="W11" s="1558">
        <v>48</v>
      </c>
    </row>
    <row r="12" spans="1:23" ht="48.2" customHeight="1">
      <c r="B12" s="1975" t="s">
        <v>706</v>
      </c>
      <c r="C12" s="1975" t="s">
        <v>707</v>
      </c>
      <c r="D12" s="1974" t="s">
        <v>636</v>
      </c>
      <c r="E12" s="1978" t="s">
        <v>637</v>
      </c>
      <c r="F12" s="1978" t="s">
        <v>637</v>
      </c>
      <c r="H12" s="1615"/>
      <c r="I12" s="1946" t="s">
        <v>91</v>
      </c>
      <c r="J12" s="1953" t="s">
        <v>708</v>
      </c>
      <c r="K12" s="1940" t="s">
        <v>313</v>
      </c>
      <c r="L12" s="749"/>
      <c r="M12" s="235" t="s">
        <v>709</v>
      </c>
      <c r="N12" s="1551"/>
      <c r="P12" s="1558"/>
      <c r="W12" s="1558">
        <v>46</v>
      </c>
    </row>
    <row r="13" spans="1:23" ht="14.65" customHeight="1">
      <c r="E13" s="281"/>
      <c r="H13" s="313"/>
      <c r="I13" s="285"/>
      <c r="J13" s="588" t="s">
        <v>710</v>
      </c>
      <c r="K13" s="508"/>
      <c r="L13" s="152"/>
      <c r="M13" s="235"/>
      <c r="W13" s="1558">
        <v>14</v>
      </c>
    </row>
    <row r="14" spans="1:23" ht="14.65" customHeight="1">
      <c r="E14" s="281"/>
      <c r="H14" s="313"/>
      <c r="I14" s="987"/>
      <c r="J14" s="1604"/>
      <c r="K14" s="1605"/>
      <c r="L14" s="1606"/>
      <c r="M14" s="1950"/>
      <c r="W14" s="1558">
        <v>14</v>
      </c>
    </row>
    <row r="15" spans="1:23" ht="14.65" customHeight="1">
      <c r="I15" s="1608"/>
      <c r="J15" s="2467"/>
      <c r="K15" s="2467"/>
      <c r="L15" s="2467"/>
      <c r="M15" s="2467"/>
      <c r="W15" s="1558">
        <v>14</v>
      </c>
    </row>
    <row r="16" spans="1:23" ht="21" hidden="1" customHeight="1">
      <c r="A16" s="1952" t="s">
        <v>83</v>
      </c>
      <c r="B16" s="1558">
        <v>9</v>
      </c>
      <c r="C16" s="1558">
        <v>9</v>
      </c>
      <c r="D16" s="1558">
        <v>9</v>
      </c>
      <c r="E16" s="1952" t="s">
        <v>149</v>
      </c>
      <c r="F16" s="1977" t="s">
        <v>149</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27F42-ADFD-0366-DB56-F809CC562FBF}">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561</v>
      </c>
      <c r="H2" s="478"/>
      <c r="I2" s="478"/>
      <c r="J2" s="479" t="s">
        <v>711</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400" t="s">
        <v>712</v>
      </c>
      <c r="F6" s="2400"/>
      <c r="G6" s="2400"/>
      <c r="H6" s="2400"/>
      <c r="I6" s="2400"/>
      <c r="J6" s="493"/>
      <c r="AF6" s="1558">
        <v>30</v>
      </c>
    </row>
    <row r="7" spans="1:32" ht="11.45" customHeight="1">
      <c r="E7" s="2421" t="str">
        <f>IF(org=0,"Не определено",org)</f>
        <v>МУП "Городские тепловые сети" МО  "город Курчатов"</v>
      </c>
      <c r="F7" s="2421"/>
      <c r="G7" s="2421"/>
      <c r="H7" s="2421"/>
      <c r="I7" s="2421"/>
      <c r="AF7" s="1558">
        <v>11</v>
      </c>
    </row>
    <row r="8" spans="1:32" ht="11.45" customHeight="1">
      <c r="E8" s="1062"/>
      <c r="F8" s="1062"/>
      <c r="G8" s="1062"/>
      <c r="H8" s="1062"/>
      <c r="I8" s="1062"/>
      <c r="AF8" s="1558">
        <v>11</v>
      </c>
    </row>
    <row r="9" spans="1:32" s="1569" customFormat="1" ht="4.1500000000000004" customHeight="1">
      <c r="A9" s="1094"/>
      <c r="H9" s="819"/>
      <c r="I9" s="819" t="s">
        <v>118</v>
      </c>
      <c r="AF9" s="1563">
        <v>4</v>
      </c>
    </row>
    <row r="10" spans="1:32" ht="11.45" customHeight="1">
      <c r="E10" s="648"/>
      <c r="F10" s="2568" t="s">
        <v>106</v>
      </c>
      <c r="G10" s="2569"/>
      <c r="H10" s="1479" t="str">
        <f>IF(H9="","",INDEX(DIFFERENTIATION_UNMERGE_VD,MATCH(H9,DIFFERENTIATION_ID_DIFF,0)))</f>
        <v/>
      </c>
      <c r="I10" s="1479">
        <f>IF(I9="","",INDEX(DIFFERENTIATION_UNMERGE_VD,MATCH(I9,DIFFERENTIATION_ID_DIFF,0)))</f>
        <v>0</v>
      </c>
      <c r="J10" s="2332"/>
      <c r="AF10" s="1558">
        <v>11</v>
      </c>
    </row>
    <row r="11" spans="1:32" ht="11.45" customHeight="1">
      <c r="E11" s="648"/>
      <c r="F11" s="2568" t="s">
        <v>573</v>
      </c>
      <c r="G11" s="2569"/>
      <c r="H11" s="1479" t="str">
        <f>IF(H9="","",INDEX(DIFFERENTIATION_UNMERGE_AREA,MATCH(H9,DIFFERENTIATION_ID_DIFF,0)))</f>
        <v/>
      </c>
      <c r="I11" s="1479" t="str">
        <f>IF(I9="","",INDEX(DIFFERENTIATION_UNMERGE_AREA,MATCH(I9,DIFFERENTIATION_ID_DIFF,0)))</f>
        <v/>
      </c>
      <c r="J11" s="2332"/>
      <c r="AF11" s="1558">
        <v>11</v>
      </c>
    </row>
    <row r="12" spans="1:32" ht="1.1499999999999999" customHeight="1">
      <c r="E12" s="1589"/>
      <c r="F12" s="2586" t="s">
        <v>574</v>
      </c>
      <c r="G12" s="2587"/>
      <c r="H12" s="1590" t="str">
        <f>IF(H9="","",INDEX(DIFFERENTIATION_UNMERGE_SYSTEM,MATCH(H9,DIFFERENTIATION_ID_DIFF,0)))</f>
        <v/>
      </c>
      <c r="I12" s="1590" t="str">
        <f>IF(I9="","",INDEX(DIFFERENTIATION_UNMERGE_SYSTEM,MATCH(I9,DIFFERENTIATION_ID_DIFF,0)))</f>
        <v>без дифференциации</v>
      </c>
      <c r="J12" s="2332"/>
      <c r="AF12" s="1558">
        <v>1</v>
      </c>
    </row>
    <row r="13" spans="1:32" ht="11.45" customHeight="1">
      <c r="E13" s="2570" t="s">
        <v>307</v>
      </c>
      <c r="F13" s="2571"/>
      <c r="G13" s="2571"/>
      <c r="H13" s="1478"/>
      <c r="I13" s="1478"/>
      <c r="J13" s="2332"/>
      <c r="AF13" s="1558">
        <v>11</v>
      </c>
    </row>
    <row r="14" spans="1:32" ht="24" customHeight="1">
      <c r="E14" s="1566" t="s">
        <v>89</v>
      </c>
      <c r="F14" s="1561" t="s">
        <v>309</v>
      </c>
      <c r="G14" s="1561" t="s">
        <v>575</v>
      </c>
      <c r="H14" s="1561" t="s">
        <v>310</v>
      </c>
      <c r="I14" s="1561" t="s">
        <v>310</v>
      </c>
      <c r="J14" s="2332"/>
      <c r="AF14" s="1558">
        <v>23</v>
      </c>
    </row>
    <row r="15" spans="1:32" ht="19.899999999999999" customHeight="1">
      <c r="D15" s="1565"/>
      <c r="E15" s="1557" t="s">
        <v>110</v>
      </c>
      <c r="F15" s="644" t="s">
        <v>713</v>
      </c>
      <c r="G15" s="1573" t="s">
        <v>561</v>
      </c>
      <c r="H15" s="494"/>
      <c r="I15" s="494"/>
      <c r="J15" s="227" t="s">
        <v>714</v>
      </c>
      <c r="K15" s="480" t="s">
        <v>639</v>
      </c>
      <c r="AF15" s="1558">
        <v>19</v>
      </c>
    </row>
    <row r="16" spans="1:32" ht="35.65" customHeight="1">
      <c r="D16" s="1565"/>
      <c r="E16" s="1557" t="s">
        <v>111</v>
      </c>
      <c r="F16" s="644" t="s">
        <v>715</v>
      </c>
      <c r="G16" s="1573" t="s">
        <v>561</v>
      </c>
      <c r="H16" s="495">
        <f>SUM(H17,H20:H32)</f>
        <v>0</v>
      </c>
      <c r="I16" s="495">
        <f>SUM(I17,I20,I23,I26,I29:I32)</f>
        <v>0</v>
      </c>
      <c r="J16" s="227" t="s">
        <v>716</v>
      </c>
      <c r="K16" s="480" t="s">
        <v>639</v>
      </c>
      <c r="AF16" s="1558">
        <v>34</v>
      </c>
    </row>
    <row r="17" spans="1:32" ht="19.899999999999999" customHeight="1">
      <c r="D17" s="1565"/>
      <c r="E17" s="1591" t="s">
        <v>717</v>
      </c>
      <c r="F17" s="884" t="s">
        <v>718</v>
      </c>
      <c r="G17" s="1570" t="s">
        <v>561</v>
      </c>
      <c r="H17" s="494"/>
      <c r="I17" s="494"/>
      <c r="J17" s="227" t="s">
        <v>719</v>
      </c>
      <c r="K17" s="480"/>
      <c r="AF17" s="1558">
        <v>19</v>
      </c>
    </row>
    <row r="18" spans="1:32" ht="24" customHeight="1">
      <c r="D18" s="1565"/>
      <c r="E18" s="1591" t="s">
        <v>720</v>
      </c>
      <c r="F18" s="1577" t="s">
        <v>721</v>
      </c>
      <c r="G18" s="1570" t="s">
        <v>561</v>
      </c>
      <c r="H18" s="494"/>
      <c r="I18" s="494"/>
      <c r="J18" s="227" t="s">
        <v>722</v>
      </c>
      <c r="K18" s="480"/>
      <c r="AF18" s="1558">
        <v>23</v>
      </c>
    </row>
    <row r="19" spans="1:32" ht="35.65" customHeight="1">
      <c r="D19" s="1565"/>
      <c r="E19" s="1591" t="s">
        <v>723</v>
      </c>
      <c r="F19" s="1577" t="s">
        <v>724</v>
      </c>
      <c r="G19" s="1570" t="s">
        <v>561</v>
      </c>
      <c r="H19" s="494"/>
      <c r="I19" s="494"/>
      <c r="J19" s="227"/>
      <c r="K19" s="480"/>
      <c r="AF19" s="1558">
        <v>34</v>
      </c>
    </row>
    <row r="20" spans="1:32" ht="19.899999999999999" customHeight="1">
      <c r="D20" s="1565"/>
      <c r="E20" s="1591" t="s">
        <v>314</v>
      </c>
      <c r="F20" s="884" t="s">
        <v>725</v>
      </c>
      <c r="G20" s="1570" t="s">
        <v>561</v>
      </c>
      <c r="H20" s="494"/>
      <c r="I20" s="494"/>
      <c r="J20" s="227" t="s">
        <v>726</v>
      </c>
      <c r="K20" s="480"/>
      <c r="AF20" s="1558">
        <v>19</v>
      </c>
    </row>
    <row r="21" spans="1:32" ht="19.899999999999999" customHeight="1">
      <c r="D21" s="1565"/>
      <c r="E21" s="1591" t="s">
        <v>727</v>
      </c>
      <c r="F21" s="1577" t="s">
        <v>728</v>
      </c>
      <c r="G21" s="1570" t="s">
        <v>561</v>
      </c>
      <c r="H21" s="494"/>
      <c r="I21" s="494"/>
      <c r="J21" s="227"/>
      <c r="K21" s="480"/>
      <c r="AF21" s="1558">
        <v>19</v>
      </c>
    </row>
    <row r="22" spans="1:32" ht="19.899999999999999" customHeight="1">
      <c r="D22" s="1565"/>
      <c r="E22" s="1591" t="s">
        <v>729</v>
      </c>
      <c r="F22" s="1577" t="s">
        <v>730</v>
      </c>
      <c r="G22" s="1570" t="s">
        <v>561</v>
      </c>
      <c r="H22" s="494"/>
      <c r="I22" s="494"/>
      <c r="J22" s="227"/>
      <c r="K22" s="480"/>
      <c r="AF22" s="1558">
        <v>19</v>
      </c>
    </row>
    <row r="23" spans="1:32" ht="24" customHeight="1">
      <c r="D23" s="1565"/>
      <c r="E23" s="1591" t="s">
        <v>317</v>
      </c>
      <c r="F23" s="884" t="s">
        <v>731</v>
      </c>
      <c r="G23" s="1570" t="s">
        <v>561</v>
      </c>
      <c r="H23" s="494"/>
      <c r="I23" s="494"/>
      <c r="J23" s="227" t="s">
        <v>732</v>
      </c>
      <c r="K23" s="480"/>
      <c r="AF23" s="1558">
        <v>23</v>
      </c>
    </row>
    <row r="24" spans="1:32" ht="19.899999999999999" customHeight="1">
      <c r="D24" s="1565"/>
      <c r="E24" s="1591" t="s">
        <v>733</v>
      </c>
      <c r="F24" s="1577" t="s">
        <v>734</v>
      </c>
      <c r="G24" s="1570" t="s">
        <v>561</v>
      </c>
      <c r="H24" s="494"/>
      <c r="I24" s="494"/>
      <c r="J24" s="227"/>
      <c r="K24" s="480"/>
      <c r="AF24" s="1558">
        <v>19</v>
      </c>
    </row>
    <row r="25" spans="1:32" ht="35.65" customHeight="1">
      <c r="D25" s="1565"/>
      <c r="E25" s="1591" t="s">
        <v>735</v>
      </c>
      <c r="F25" s="1577" t="s">
        <v>736</v>
      </c>
      <c r="G25" s="1570" t="s">
        <v>561</v>
      </c>
      <c r="H25" s="494"/>
      <c r="I25" s="494"/>
      <c r="J25" s="227"/>
      <c r="K25" s="480"/>
      <c r="AF25" s="1558">
        <v>34</v>
      </c>
    </row>
    <row r="26" spans="1:32" ht="24" customHeight="1">
      <c r="D26" s="1565"/>
      <c r="E26" s="1591" t="s">
        <v>737</v>
      </c>
      <c r="F26" s="884" t="s">
        <v>738</v>
      </c>
      <c r="G26" s="1570" t="s">
        <v>561</v>
      </c>
      <c r="H26" s="494"/>
      <c r="I26" s="494"/>
      <c r="J26" s="227" t="s">
        <v>739</v>
      </c>
      <c r="K26" s="480"/>
      <c r="AF26" s="1558">
        <v>23</v>
      </c>
    </row>
    <row r="27" spans="1:32" ht="19.899999999999999" customHeight="1">
      <c r="D27" s="1565"/>
      <c r="E27" s="1602" t="s">
        <v>740</v>
      </c>
      <c r="F27" s="1577" t="s">
        <v>741</v>
      </c>
      <c r="G27" s="1581" t="s">
        <v>561</v>
      </c>
      <c r="H27" s="1603"/>
      <c r="I27" s="1603"/>
      <c r="J27" s="227"/>
      <c r="K27" s="480"/>
      <c r="AF27" s="1558">
        <v>19</v>
      </c>
    </row>
    <row r="28" spans="1:32" ht="19.899999999999999" customHeight="1">
      <c r="D28" s="1565"/>
      <c r="E28" s="1602" t="s">
        <v>742</v>
      </c>
      <c r="F28" s="1577" t="s">
        <v>743</v>
      </c>
      <c r="G28" s="1581" t="s">
        <v>561</v>
      </c>
      <c r="H28" s="1603"/>
      <c r="I28" s="1603"/>
      <c r="J28" s="227"/>
      <c r="K28" s="480"/>
      <c r="AF28" s="1558">
        <v>19</v>
      </c>
    </row>
    <row r="29" spans="1:32" ht="19.899999999999999" customHeight="1">
      <c r="D29" s="1565"/>
      <c r="E29" s="1602" t="s">
        <v>744</v>
      </c>
      <c r="F29" s="884" t="s">
        <v>745</v>
      </c>
      <c r="G29" s="1581" t="s">
        <v>561</v>
      </c>
      <c r="H29" s="1603"/>
      <c r="I29" s="1603"/>
      <c r="J29" s="227"/>
      <c r="K29" s="480"/>
      <c r="AF29" s="1558">
        <v>19</v>
      </c>
    </row>
    <row r="30" spans="1:32" ht="19.899999999999999" customHeight="1">
      <c r="D30" s="1565"/>
      <c r="E30" s="1602" t="s">
        <v>746</v>
      </c>
      <c r="F30" s="884" t="s">
        <v>747</v>
      </c>
      <c r="G30" s="1581" t="s">
        <v>561</v>
      </c>
      <c r="H30" s="1603"/>
      <c r="I30" s="1603"/>
      <c r="J30" s="227"/>
      <c r="K30" s="480"/>
      <c r="AF30" s="1558">
        <v>19</v>
      </c>
    </row>
    <row r="31" spans="1:32" ht="19.899999999999999" customHeight="1">
      <c r="D31" s="1565"/>
      <c r="E31" s="1602" t="s">
        <v>748</v>
      </c>
      <c r="F31" s="884" t="s">
        <v>749</v>
      </c>
      <c r="G31" s="1581" t="s">
        <v>561</v>
      </c>
      <c r="H31" s="1603"/>
      <c r="I31" s="1603"/>
      <c r="J31" s="227"/>
      <c r="K31" s="480"/>
      <c r="AF31" s="1558">
        <v>19</v>
      </c>
    </row>
    <row r="32" spans="1:32" s="1293" customFormat="1" ht="35.65" customHeight="1">
      <c r="A32" s="917"/>
      <c r="C32" s="1563"/>
      <c r="D32" s="1565"/>
      <c r="E32" s="1602" t="s">
        <v>750</v>
      </c>
      <c r="F32" s="884" t="s">
        <v>751</v>
      </c>
      <c r="G32" s="1571" t="s">
        <v>561</v>
      </c>
      <c r="H32" s="516">
        <f>SUM(H33:H34)</f>
        <v>0</v>
      </c>
      <c r="I32" s="516">
        <f>SUM(I33:I34)</f>
        <v>0</v>
      </c>
      <c r="J32" s="227" t="s">
        <v>752</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586</v>
      </c>
      <c r="G34" s="509"/>
      <c r="H34" s="510"/>
      <c r="I34" s="510"/>
      <c r="J34" s="239" t="s">
        <v>753</v>
      </c>
      <c r="K34" s="480"/>
      <c r="L34" s="1563"/>
      <c r="M34" s="1563"/>
      <c r="R34" s="1563"/>
      <c r="U34" s="481"/>
      <c r="AA34" s="1559"/>
      <c r="AB34" s="1559"/>
      <c r="AC34" s="1559"/>
      <c r="AD34" s="1559"/>
      <c r="AE34" s="1559"/>
      <c r="AF34" s="1087">
        <v>19</v>
      </c>
    </row>
    <row r="35" spans="1:32" ht="60" customHeight="1">
      <c r="D35" s="1565"/>
      <c r="E35" s="1602" t="s">
        <v>754</v>
      </c>
      <c r="F35" s="884" t="s">
        <v>755</v>
      </c>
      <c r="G35" s="1581" t="s">
        <v>561</v>
      </c>
      <c r="H35" s="1603"/>
      <c r="I35" s="1603"/>
      <c r="J35" s="227" t="s">
        <v>756</v>
      </c>
      <c r="K35" s="480"/>
      <c r="AF35" s="1558">
        <v>57</v>
      </c>
    </row>
    <row r="36" spans="1:32" s="1293" customFormat="1" ht="24" customHeight="1">
      <c r="A36" s="919" t="s">
        <v>587</v>
      </c>
      <c r="C36" s="1563"/>
      <c r="D36" s="1565"/>
      <c r="E36" s="1591" t="s">
        <v>91</v>
      </c>
      <c r="F36" s="644" t="s">
        <v>757</v>
      </c>
      <c r="G36" s="1570" t="s">
        <v>561</v>
      </c>
      <c r="H36" s="494"/>
      <c r="I36" s="494"/>
      <c r="J36" s="227" t="s">
        <v>758</v>
      </c>
      <c r="K36" s="480"/>
      <c r="L36" s="1563"/>
      <c r="M36" s="1563"/>
      <c r="R36" s="1563"/>
      <c r="U36" s="481"/>
      <c r="AA36" s="1559"/>
      <c r="AB36" s="1559"/>
      <c r="AC36" s="1559"/>
      <c r="AD36" s="1559"/>
      <c r="AE36" s="1559"/>
      <c r="AF36" s="1087">
        <v>23</v>
      </c>
    </row>
    <row r="37" spans="1:32" s="1293" customFormat="1" ht="35.65" customHeight="1">
      <c r="A37" s="919"/>
      <c r="C37" s="1563"/>
      <c r="D37" s="1565"/>
      <c r="E37" s="1591" t="s">
        <v>331</v>
      </c>
      <c r="F37" s="884" t="s">
        <v>759</v>
      </c>
      <c r="G37" s="1581"/>
      <c r="H37" s="494"/>
      <c r="I37" s="494"/>
      <c r="J37" s="227"/>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92</v>
      </c>
      <c r="F38" s="644" t="s">
        <v>760</v>
      </c>
      <c r="G38" s="1570" t="s">
        <v>561</v>
      </c>
      <c r="H38" s="494"/>
      <c r="I38" s="494"/>
      <c r="J38" s="227" t="s">
        <v>761</v>
      </c>
      <c r="K38" s="480"/>
      <c r="L38" s="1563"/>
      <c r="M38" s="1563"/>
      <c r="R38" s="1563"/>
      <c r="U38" s="481"/>
      <c r="AA38" s="1559"/>
      <c r="AB38" s="1559"/>
      <c r="AC38" s="1559"/>
      <c r="AD38" s="1559"/>
      <c r="AE38" s="1559"/>
      <c r="AF38" s="1087">
        <v>19</v>
      </c>
    </row>
    <row r="39" spans="1:32" s="1293" customFormat="1" ht="24" customHeight="1">
      <c r="A39" s="917"/>
      <c r="C39" s="1563"/>
      <c r="D39" s="512"/>
      <c r="E39" s="1591" t="s">
        <v>762</v>
      </c>
      <c r="F39" s="884" t="s">
        <v>763</v>
      </c>
      <c r="G39" s="1581" t="s">
        <v>561</v>
      </c>
      <c r="H39" s="494"/>
      <c r="I39" s="494"/>
      <c r="J39" s="227" t="s">
        <v>764</v>
      </c>
      <c r="K39" s="480"/>
      <c r="L39" s="1563"/>
      <c r="M39" s="1563"/>
      <c r="R39" s="1563"/>
      <c r="U39" s="481"/>
      <c r="AA39" s="1559"/>
      <c r="AB39" s="1559"/>
      <c r="AC39" s="1559"/>
      <c r="AD39" s="1559"/>
      <c r="AE39" s="1559"/>
      <c r="AF39" s="1087">
        <v>23</v>
      </c>
    </row>
    <row r="40" spans="1:32" s="1293" customFormat="1" ht="24" customHeight="1">
      <c r="A40" s="917"/>
      <c r="C40" s="1563"/>
      <c r="D40" s="1565"/>
      <c r="E40" s="1591" t="s">
        <v>765</v>
      </c>
      <c r="F40" s="1577" t="s">
        <v>766</v>
      </c>
      <c r="G40" s="1570" t="s">
        <v>561</v>
      </c>
      <c r="H40" s="494"/>
      <c r="I40" s="494"/>
      <c r="J40" s="227" t="s">
        <v>767</v>
      </c>
      <c r="K40" s="480"/>
      <c r="L40" s="1563"/>
      <c r="M40" s="1563"/>
      <c r="R40" s="1563"/>
      <c r="U40" s="481"/>
      <c r="AA40" s="1559"/>
      <c r="AB40" s="1559"/>
      <c r="AC40" s="1559"/>
      <c r="AD40" s="1559"/>
      <c r="AE40" s="1559"/>
      <c r="AF40" s="1087">
        <v>23</v>
      </c>
    </row>
    <row r="41" spans="1:32" s="1293" customFormat="1" ht="24" customHeight="1">
      <c r="A41" s="917"/>
      <c r="C41" s="1563"/>
      <c r="D41" s="1565"/>
      <c r="E41" s="1591" t="s">
        <v>768</v>
      </c>
      <c r="F41" s="1577" t="s">
        <v>769</v>
      </c>
      <c r="G41" s="1570" t="s">
        <v>561</v>
      </c>
      <c r="H41" s="494"/>
      <c r="I41" s="494"/>
      <c r="J41" s="227" t="s">
        <v>770</v>
      </c>
      <c r="K41" s="480"/>
      <c r="L41" s="1563"/>
      <c r="M41" s="1563"/>
      <c r="R41" s="1563"/>
      <c r="U41" s="481"/>
      <c r="AA41" s="1559"/>
      <c r="AB41" s="1559"/>
      <c r="AC41" s="1559"/>
      <c r="AD41" s="1559"/>
      <c r="AE41" s="1559"/>
      <c r="AF41" s="1087">
        <v>23</v>
      </c>
    </row>
    <row r="42" spans="1:32" s="1293" customFormat="1" ht="24" customHeight="1">
      <c r="A42" s="917"/>
      <c r="C42" s="1563"/>
      <c r="D42" s="1565"/>
      <c r="E42" s="1591" t="s">
        <v>771</v>
      </c>
      <c r="F42" s="1577" t="s">
        <v>772</v>
      </c>
      <c r="G42" s="1570" t="s">
        <v>561</v>
      </c>
      <c r="H42" s="494"/>
      <c r="I42" s="494"/>
      <c r="J42" s="227" t="s">
        <v>773</v>
      </c>
      <c r="K42" s="480"/>
      <c r="L42" s="1563"/>
      <c r="M42" s="1563"/>
      <c r="R42" s="1563"/>
      <c r="U42" s="481"/>
      <c r="AA42" s="1559"/>
      <c r="AB42" s="1559"/>
      <c r="AC42" s="1559"/>
      <c r="AD42" s="1559"/>
      <c r="AE42" s="1559"/>
      <c r="AF42" s="1087">
        <v>23</v>
      </c>
    </row>
    <row r="43" spans="1:32" s="1293" customFormat="1" ht="35.65" customHeight="1">
      <c r="A43" s="917"/>
      <c r="C43" s="1563" t="s">
        <v>597</v>
      </c>
      <c r="D43" s="1565"/>
      <c r="E43" s="1591" t="s">
        <v>112</v>
      </c>
      <c r="F43" s="644" t="s">
        <v>638</v>
      </c>
      <c r="G43" s="1573" t="s">
        <v>774</v>
      </c>
      <c r="H43" s="338"/>
      <c r="I43" s="338"/>
      <c r="J43" s="227" t="s">
        <v>775</v>
      </c>
      <c r="K43" s="480"/>
      <c r="L43" s="1563"/>
      <c r="M43" s="1563"/>
      <c r="R43" s="1563"/>
      <c r="U43" s="481"/>
      <c r="AA43" s="1559"/>
      <c r="AB43" s="1559"/>
      <c r="AC43" s="1559"/>
      <c r="AD43" s="1559"/>
      <c r="AE43" s="1559"/>
      <c r="AF43" s="1087">
        <v>34</v>
      </c>
    </row>
    <row r="44" spans="1:32" s="1293" customFormat="1" ht="35.65" customHeight="1">
      <c r="A44" s="917"/>
      <c r="C44" s="1563"/>
      <c r="D44" s="1565"/>
      <c r="E44" s="1591" t="s">
        <v>93</v>
      </c>
      <c r="F44" s="644" t="s">
        <v>776</v>
      </c>
      <c r="G44" s="1570" t="s">
        <v>777</v>
      </c>
      <c r="H44" s="482"/>
      <c r="I44" s="482"/>
      <c r="J44" s="227" t="s">
        <v>778</v>
      </c>
      <c r="K44" s="480"/>
      <c r="L44" s="1563"/>
      <c r="M44" s="1563"/>
      <c r="R44" s="1563"/>
      <c r="U44" s="481"/>
      <c r="AA44" s="1559"/>
      <c r="AB44" s="1559"/>
      <c r="AC44" s="1559"/>
      <c r="AD44" s="1559"/>
      <c r="AE44" s="1559"/>
      <c r="AF44" s="1087">
        <v>34</v>
      </c>
    </row>
    <row r="45" spans="1:32" s="1293" customFormat="1" ht="24" customHeight="1">
      <c r="A45" s="917"/>
      <c r="C45" s="1563"/>
      <c r="D45" s="1565"/>
      <c r="E45" s="1591" t="s">
        <v>94</v>
      </c>
      <c r="F45" s="644" t="s">
        <v>779</v>
      </c>
      <c r="G45" s="1581" t="s">
        <v>780</v>
      </c>
      <c r="H45" s="482"/>
      <c r="I45" s="482"/>
      <c r="J45" s="227" t="s">
        <v>781</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113</v>
      </c>
      <c r="F46" s="644" t="s">
        <v>782</v>
      </c>
      <c r="G46" s="1570" t="s">
        <v>599</v>
      </c>
      <c r="H46" s="514"/>
      <c r="I46" s="514"/>
      <c r="J46" s="227"/>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83</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B4E15-6797-4DDA-C791-C0F662633D4B}">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561</v>
      </c>
      <c r="H2" s="478"/>
      <c r="I2" s="478"/>
      <c r="J2" s="479" t="s">
        <v>564</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449" t="s">
        <v>783</v>
      </c>
      <c r="F6" s="2449"/>
      <c r="G6" s="2449"/>
      <c r="H6" s="2449"/>
      <c r="I6" s="2449"/>
      <c r="J6" s="493"/>
      <c r="AF6" s="1558">
        <v>32</v>
      </c>
    </row>
    <row r="7" spans="1:32" ht="25.15" customHeight="1">
      <c r="E7" s="2421" t="str">
        <f>IF(org=0,"Не определено",org)</f>
        <v>МУП "Городские тепловые сети" МО  "город Курчатов"</v>
      </c>
      <c r="F7" s="2421"/>
      <c r="G7" s="2421"/>
      <c r="H7" s="2421"/>
      <c r="I7" s="2421"/>
      <c r="AF7" s="1558">
        <v>24</v>
      </c>
    </row>
    <row r="8" spans="1:32" ht="11.45" customHeight="1">
      <c r="E8" s="1062"/>
      <c r="F8" s="1062"/>
      <c r="G8" s="1062"/>
      <c r="H8" s="1062"/>
      <c r="I8" s="1062"/>
      <c r="AF8" s="1558">
        <v>11</v>
      </c>
    </row>
    <row r="9" spans="1:32" s="1569" customFormat="1" ht="1.1499999999999999" customHeight="1">
      <c r="A9" s="1094"/>
      <c r="H9" s="819"/>
      <c r="I9" s="819" t="s">
        <v>118</v>
      </c>
      <c r="AF9" s="1563">
        <v>1</v>
      </c>
    </row>
    <row r="10" spans="1:32" ht="11.45" customHeight="1">
      <c r="E10" s="648"/>
      <c r="F10" s="2568" t="s">
        <v>106</v>
      </c>
      <c r="G10" s="2569"/>
      <c r="H10" s="1586" t="str">
        <f>IF(H9="","",INDEX(DIFFERENTIATION_UNMERGE_VD,MATCH(H9,DIFFERENTIATION_ID_DIFF,0)))</f>
        <v/>
      </c>
      <c r="I10" s="1586">
        <f>IF(I9="","",INDEX(DIFFERENTIATION_UNMERGE_VD,MATCH(I9,DIFFERENTIATION_ID_DIFF,0)))</f>
        <v>0</v>
      </c>
      <c r="J10" s="2332"/>
      <c r="AF10" s="1558">
        <v>11</v>
      </c>
    </row>
    <row r="11" spans="1:32" ht="11.45" customHeight="1">
      <c r="E11" s="648"/>
      <c r="F11" s="2568" t="s">
        <v>573</v>
      </c>
      <c r="G11" s="2569"/>
      <c r="H11" s="1586" t="str">
        <f>IF(H9="","",INDEX(DIFFERENTIATION_UNMERGE_AREA,MATCH(H9,DIFFERENTIATION_ID_DIFF,0)))</f>
        <v/>
      </c>
      <c r="I11" s="1586" t="str">
        <f>IF(I9="","",INDEX(DIFFERENTIATION_UNMERGE_AREA,MATCH(I9,DIFFERENTIATION_ID_DIFF,0)))</f>
        <v/>
      </c>
      <c r="J11" s="2332"/>
      <c r="AF11" s="1558">
        <v>11</v>
      </c>
    </row>
    <row r="12" spans="1:32" ht="11.25" hidden="1" customHeight="1">
      <c r="E12" s="1589"/>
      <c r="F12" s="2586" t="s">
        <v>574</v>
      </c>
      <c r="G12" s="2587"/>
      <c r="H12" s="1590" t="str">
        <f>IF(H9="","",INDEX(DIFFERENTIATION_UNMERGE_SYSTEM,MATCH(H9,DIFFERENTIATION_ID_DIFF,0)))</f>
        <v/>
      </c>
      <c r="I12" s="1590" t="str">
        <f>IF(I9="","",INDEX(DIFFERENTIATION_UNMERGE_SYSTEM,MATCH(I9,DIFFERENTIATION_ID_DIFF,0)))</f>
        <v>без дифференциации</v>
      </c>
      <c r="J12" s="2332"/>
      <c r="AF12" s="1558">
        <v>0</v>
      </c>
    </row>
    <row r="13" spans="1:32" ht="11.45" customHeight="1">
      <c r="E13" s="2570" t="s">
        <v>307</v>
      </c>
      <c r="F13" s="2571"/>
      <c r="G13" s="2571"/>
      <c r="H13" s="1583"/>
      <c r="I13" s="1583"/>
      <c r="J13" s="2332"/>
      <c r="AF13" s="1558">
        <v>11</v>
      </c>
    </row>
    <row r="14" spans="1:32" ht="24" customHeight="1">
      <c r="E14" s="1584" t="s">
        <v>89</v>
      </c>
      <c r="F14" s="1587" t="s">
        <v>309</v>
      </c>
      <c r="G14" s="1587" t="s">
        <v>575</v>
      </c>
      <c r="H14" s="1587" t="s">
        <v>310</v>
      </c>
      <c r="I14" s="1587" t="s">
        <v>310</v>
      </c>
      <c r="J14" s="2332"/>
      <c r="AF14" s="1558">
        <v>23</v>
      </c>
    </row>
    <row r="15" spans="1:32" ht="19.899999999999999" customHeight="1">
      <c r="D15" s="1565"/>
      <c r="E15" s="1557" t="s">
        <v>110</v>
      </c>
      <c r="F15" s="644" t="s">
        <v>784</v>
      </c>
      <c r="G15" s="1584" t="s">
        <v>561</v>
      </c>
      <c r="H15" s="494"/>
      <c r="I15" s="494"/>
      <c r="J15" s="227" t="s">
        <v>785</v>
      </c>
      <c r="K15" s="480" t="s">
        <v>639</v>
      </c>
      <c r="AF15" s="1558">
        <v>19</v>
      </c>
    </row>
    <row r="16" spans="1:32" ht="24" customHeight="1">
      <c r="D16" s="1565"/>
      <c r="E16" s="1557" t="s">
        <v>111</v>
      </c>
      <c r="F16" s="1592" t="s">
        <v>786</v>
      </c>
      <c r="G16" s="1584" t="s">
        <v>561</v>
      </c>
      <c r="H16" s="495">
        <f>SUM(H17,H20:H27)</f>
        <v>0</v>
      </c>
      <c r="I16" s="495">
        <f>SUM(I17,I20:I27)</f>
        <v>0</v>
      </c>
      <c r="J16" s="227" t="s">
        <v>787</v>
      </c>
      <c r="K16" s="480" t="s">
        <v>639</v>
      </c>
      <c r="AF16" s="1558">
        <v>23</v>
      </c>
    </row>
    <row r="17" spans="1:32" ht="35.65" customHeight="1">
      <c r="D17" s="1565"/>
      <c r="E17" s="1591" t="s">
        <v>717</v>
      </c>
      <c r="F17" s="1594" t="s">
        <v>788</v>
      </c>
      <c r="G17" s="1581" t="s">
        <v>561</v>
      </c>
      <c r="H17" s="494"/>
      <c r="I17" s="494"/>
      <c r="J17" s="227" t="s">
        <v>789</v>
      </c>
      <c r="K17" s="480"/>
      <c r="AF17" s="1558">
        <v>34</v>
      </c>
    </row>
    <row r="18" spans="1:32" ht="19.899999999999999" customHeight="1">
      <c r="D18" s="1565"/>
      <c r="E18" s="1591" t="s">
        <v>720</v>
      </c>
      <c r="F18" s="1595" t="s">
        <v>790</v>
      </c>
      <c r="G18" s="1581" t="s">
        <v>561</v>
      </c>
      <c r="H18" s="494"/>
      <c r="I18" s="494"/>
      <c r="J18" s="227"/>
      <c r="K18" s="480"/>
      <c r="AF18" s="1558">
        <v>19</v>
      </c>
    </row>
    <row r="19" spans="1:32" ht="24" customHeight="1">
      <c r="D19" s="1565"/>
      <c r="E19" s="1591" t="s">
        <v>723</v>
      </c>
      <c r="F19" s="1595" t="s">
        <v>791</v>
      </c>
      <c r="G19" s="1581" t="s">
        <v>561</v>
      </c>
      <c r="H19" s="494"/>
      <c r="I19" s="494"/>
      <c r="J19" s="227"/>
      <c r="K19" s="480"/>
      <c r="AF19" s="1558">
        <v>23</v>
      </c>
    </row>
    <row r="20" spans="1:32" ht="35.65" customHeight="1">
      <c r="D20" s="1565"/>
      <c r="E20" s="1591" t="s">
        <v>314</v>
      </c>
      <c r="F20" s="1594" t="s">
        <v>792</v>
      </c>
      <c r="G20" s="1581" t="s">
        <v>561</v>
      </c>
      <c r="H20" s="494"/>
      <c r="I20" s="494"/>
      <c r="J20" s="227"/>
      <c r="K20" s="480"/>
      <c r="AF20" s="1558">
        <v>34</v>
      </c>
    </row>
    <row r="21" spans="1:32" ht="48.2" customHeight="1">
      <c r="D21" s="1565"/>
      <c r="E21" s="1591" t="s">
        <v>317</v>
      </c>
      <c r="F21" s="1594" t="s">
        <v>793</v>
      </c>
      <c r="G21" s="1581" t="s">
        <v>561</v>
      </c>
      <c r="H21" s="494"/>
      <c r="I21" s="494"/>
      <c r="J21" s="227"/>
      <c r="K21" s="480"/>
      <c r="AF21" s="1558">
        <v>46</v>
      </c>
    </row>
    <row r="22" spans="1:32" ht="60" customHeight="1">
      <c r="D22" s="1565"/>
      <c r="E22" s="1591" t="s">
        <v>737</v>
      </c>
      <c r="F22" s="1594" t="s">
        <v>794</v>
      </c>
      <c r="G22" s="1581" t="s">
        <v>561</v>
      </c>
      <c r="H22" s="494"/>
      <c r="I22" s="494"/>
      <c r="J22" s="227"/>
      <c r="K22" s="480"/>
      <c r="AF22" s="1558">
        <v>57</v>
      </c>
    </row>
    <row r="23" spans="1:32" ht="35.65" customHeight="1">
      <c r="D23" s="1565"/>
      <c r="E23" s="1591" t="s">
        <v>744</v>
      </c>
      <c r="F23" s="1594" t="s">
        <v>795</v>
      </c>
      <c r="G23" s="1581" t="s">
        <v>561</v>
      </c>
      <c r="H23" s="494"/>
      <c r="I23" s="494"/>
      <c r="J23" s="227"/>
      <c r="K23" s="480"/>
      <c r="AF23" s="1558">
        <v>34</v>
      </c>
    </row>
    <row r="24" spans="1:32" ht="35.65" customHeight="1">
      <c r="D24" s="1565"/>
      <c r="E24" s="1591" t="s">
        <v>746</v>
      </c>
      <c r="F24" s="1594" t="s">
        <v>796</v>
      </c>
      <c r="G24" s="1581" t="s">
        <v>561</v>
      </c>
      <c r="H24" s="494"/>
      <c r="I24" s="494"/>
      <c r="J24" s="227"/>
      <c r="K24" s="480"/>
      <c r="AF24" s="1558">
        <v>34</v>
      </c>
    </row>
    <row r="25" spans="1:32" ht="24" customHeight="1">
      <c r="D25" s="1565"/>
      <c r="E25" s="1591" t="s">
        <v>748</v>
      </c>
      <c r="F25" s="1594" t="s">
        <v>797</v>
      </c>
      <c r="G25" s="1581" t="s">
        <v>561</v>
      </c>
      <c r="H25" s="494"/>
      <c r="I25" s="494"/>
      <c r="J25" s="227"/>
      <c r="K25" s="480"/>
      <c r="AF25" s="1558">
        <v>23</v>
      </c>
    </row>
    <row r="26" spans="1:32" ht="76.5" customHeight="1">
      <c r="D26" s="1565"/>
      <c r="E26" s="1591" t="s">
        <v>750</v>
      </c>
      <c r="F26" s="1594" t="s">
        <v>798</v>
      </c>
      <c r="G26" s="1581" t="s">
        <v>561</v>
      </c>
      <c r="H26" s="494"/>
      <c r="I26" s="494"/>
      <c r="J26" s="227"/>
      <c r="K26" s="480"/>
      <c r="AF26" s="1558">
        <v>73</v>
      </c>
    </row>
    <row r="27" spans="1:32" s="1293" customFormat="1" ht="35.65" customHeight="1">
      <c r="A27" s="917"/>
      <c r="C27" s="1563"/>
      <c r="D27" s="1565"/>
      <c r="E27" s="1556" t="s">
        <v>754</v>
      </c>
      <c r="F27" s="1555" t="s">
        <v>799</v>
      </c>
      <c r="G27" s="1582" t="s">
        <v>561</v>
      </c>
      <c r="H27" s="516">
        <f>SUM(H28:H29)</f>
        <v>0</v>
      </c>
      <c r="I27" s="516">
        <f>SUM(I28:I29)</f>
        <v>0</v>
      </c>
      <c r="J27" s="227" t="s">
        <v>752</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586</v>
      </c>
      <c r="G29" s="509"/>
      <c r="H29" s="510"/>
      <c r="I29" s="510"/>
      <c r="J29" s="239" t="s">
        <v>753</v>
      </c>
      <c r="K29" s="480"/>
      <c r="L29" s="1563"/>
      <c r="M29" s="1563"/>
      <c r="R29" s="1563"/>
      <c r="U29" s="481"/>
      <c r="AA29" s="1559"/>
      <c r="AB29" s="1559"/>
      <c r="AC29" s="1559"/>
      <c r="AD29" s="1559"/>
      <c r="AE29" s="1559"/>
      <c r="AF29" s="1087">
        <v>19</v>
      </c>
    </row>
    <row r="30" spans="1:32" s="1293" customFormat="1" ht="24" customHeight="1">
      <c r="A30" s="917"/>
      <c r="C30" s="1563"/>
      <c r="D30" s="1565"/>
      <c r="E30" s="1591" t="s">
        <v>91</v>
      </c>
      <c r="F30" s="1588" t="s">
        <v>800</v>
      </c>
      <c r="G30" s="1581" t="s">
        <v>561</v>
      </c>
      <c r="H30" s="494"/>
      <c r="I30" s="494"/>
      <c r="J30" s="227"/>
      <c r="K30" s="480"/>
      <c r="L30" s="1563"/>
      <c r="M30" s="1563"/>
      <c r="R30" s="1563"/>
      <c r="U30" s="481"/>
      <c r="AA30" s="1559"/>
      <c r="AB30" s="1559"/>
      <c r="AC30" s="1559"/>
      <c r="AD30" s="1559"/>
      <c r="AE30" s="1559"/>
      <c r="AF30" s="1087">
        <v>23</v>
      </c>
    </row>
    <row r="31" spans="1:32" s="1293" customFormat="1" ht="35.65" customHeight="1">
      <c r="A31" s="917"/>
      <c r="C31" s="1563"/>
      <c r="D31" s="512"/>
      <c r="E31" s="1591" t="s">
        <v>92</v>
      </c>
      <c r="F31" s="1588" t="s">
        <v>801</v>
      </c>
      <c r="G31" s="1581" t="s">
        <v>561</v>
      </c>
      <c r="H31" s="494"/>
      <c r="I31" s="494"/>
      <c r="J31" s="227" t="s">
        <v>802</v>
      </c>
      <c r="K31" s="480"/>
      <c r="L31" s="1563"/>
      <c r="M31" s="1563"/>
      <c r="R31" s="1563"/>
      <c r="U31" s="481"/>
      <c r="AA31" s="1559"/>
      <c r="AB31" s="1559"/>
      <c r="AC31" s="1559"/>
      <c r="AD31" s="1559"/>
      <c r="AE31" s="1559"/>
      <c r="AF31" s="1087">
        <v>34</v>
      </c>
    </row>
    <row r="32" spans="1:32" s="1293" customFormat="1" ht="24" customHeight="1">
      <c r="A32" s="917"/>
      <c r="C32" s="1563"/>
      <c r="D32" s="1565"/>
      <c r="E32" s="1591" t="s">
        <v>762</v>
      </c>
      <c r="F32" s="627" t="s">
        <v>766</v>
      </c>
      <c r="G32" s="1581" t="s">
        <v>561</v>
      </c>
      <c r="H32" s="494"/>
      <c r="I32" s="494"/>
      <c r="J32" s="227" t="s">
        <v>803</v>
      </c>
      <c r="K32" s="480"/>
      <c r="L32" s="1563"/>
      <c r="M32" s="1563"/>
      <c r="R32" s="1563"/>
      <c r="U32" s="481"/>
      <c r="AA32" s="1559"/>
      <c r="AB32" s="1559"/>
      <c r="AC32" s="1559"/>
      <c r="AD32" s="1559"/>
      <c r="AE32" s="1559"/>
      <c r="AF32" s="1087">
        <v>23</v>
      </c>
    </row>
    <row r="33" spans="1:32" s="1293" customFormat="1" ht="24" customHeight="1">
      <c r="A33" s="917"/>
      <c r="C33" s="1563"/>
      <c r="D33" s="1565"/>
      <c r="E33" s="1591" t="s">
        <v>804</v>
      </c>
      <c r="F33" s="627" t="s">
        <v>805</v>
      </c>
      <c r="G33" s="1581" t="s">
        <v>561</v>
      </c>
      <c r="H33" s="494"/>
      <c r="I33" s="494"/>
      <c r="J33" s="227" t="s">
        <v>806</v>
      </c>
      <c r="K33" s="480"/>
      <c r="L33" s="1563"/>
      <c r="M33" s="1563"/>
      <c r="R33" s="1563"/>
      <c r="U33" s="481"/>
      <c r="AA33" s="1559"/>
      <c r="AB33" s="1559"/>
      <c r="AC33" s="1559"/>
      <c r="AD33" s="1559"/>
      <c r="AE33" s="1559"/>
      <c r="AF33" s="1087">
        <v>23</v>
      </c>
    </row>
    <row r="34" spans="1:32" s="1293" customFormat="1" ht="24" customHeight="1">
      <c r="A34" s="917"/>
      <c r="C34" s="1563"/>
      <c r="D34" s="1565"/>
      <c r="E34" s="1591" t="s">
        <v>807</v>
      </c>
      <c r="F34" s="627" t="s">
        <v>772</v>
      </c>
      <c r="G34" s="1581" t="s">
        <v>561</v>
      </c>
      <c r="H34" s="494"/>
      <c r="I34" s="494"/>
      <c r="J34" s="227" t="s">
        <v>808</v>
      </c>
      <c r="K34" s="480"/>
      <c r="L34" s="1563"/>
      <c r="M34" s="1563"/>
      <c r="R34" s="1563"/>
      <c r="U34" s="481"/>
      <c r="AA34" s="1559"/>
      <c r="AB34" s="1559"/>
      <c r="AC34" s="1559"/>
      <c r="AD34" s="1559"/>
      <c r="AE34" s="1559"/>
      <c r="AF34" s="1087">
        <v>23</v>
      </c>
    </row>
    <row r="35" spans="1:32" s="1293" customFormat="1" ht="35.65" customHeight="1">
      <c r="A35" s="917"/>
      <c r="C35" s="1563" t="s">
        <v>597</v>
      </c>
      <c r="D35" s="1565"/>
      <c r="E35" s="1591" t="s">
        <v>112</v>
      </c>
      <c r="F35" s="1588" t="s">
        <v>638</v>
      </c>
      <c r="G35" s="1584" t="s">
        <v>313</v>
      </c>
      <c r="H35" s="338"/>
      <c r="I35" s="338"/>
      <c r="J35" s="227" t="s">
        <v>809</v>
      </c>
      <c r="K35" s="480"/>
      <c r="L35" s="1563"/>
      <c r="M35" s="1563"/>
      <c r="R35" s="1563"/>
      <c r="U35" s="481"/>
      <c r="AA35" s="1559"/>
      <c r="AB35" s="1559"/>
      <c r="AC35" s="1559"/>
      <c r="AD35" s="1559"/>
      <c r="AE35" s="1559"/>
      <c r="AF35" s="1087">
        <v>34</v>
      </c>
    </row>
    <row r="36" spans="1:32" s="1293" customFormat="1" ht="35.65" customHeight="1">
      <c r="A36" s="917"/>
      <c r="C36" s="1563"/>
      <c r="D36" s="1565"/>
      <c r="E36" s="1591" t="s">
        <v>93</v>
      </c>
      <c r="F36" s="1588" t="s">
        <v>810</v>
      </c>
      <c r="G36" s="1581" t="s">
        <v>777</v>
      </c>
      <c r="H36" s="482"/>
      <c r="I36" s="482"/>
      <c r="J36" s="227" t="s">
        <v>778</v>
      </c>
      <c r="K36" s="480"/>
      <c r="L36" s="1563"/>
      <c r="M36" s="1563"/>
      <c r="R36" s="1563"/>
      <c r="U36" s="481"/>
      <c r="AA36" s="1559"/>
      <c r="AB36" s="1559"/>
      <c r="AC36" s="1559"/>
      <c r="AD36" s="1559"/>
      <c r="AE36" s="1559"/>
      <c r="AF36" s="1087">
        <v>34</v>
      </c>
    </row>
    <row r="37" spans="1:32" s="1293" customFormat="1" ht="24" customHeight="1">
      <c r="A37" s="917"/>
      <c r="C37" s="1563"/>
      <c r="D37" s="1565"/>
      <c r="E37" s="1591" t="s">
        <v>94</v>
      </c>
      <c r="F37" s="1588" t="s">
        <v>811</v>
      </c>
      <c r="G37" s="1581" t="s">
        <v>780</v>
      </c>
      <c r="H37" s="482"/>
      <c r="I37" s="482"/>
      <c r="J37" s="227" t="s">
        <v>781</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812</v>
      </c>
      <c r="F39" s="2467" t="s">
        <v>813</v>
      </c>
      <c r="G39" s="2467"/>
      <c r="H39" s="306"/>
      <c r="I39" s="306"/>
      <c r="J39" s="306"/>
      <c r="AF39" s="1558">
        <v>26</v>
      </c>
    </row>
    <row r="40" spans="1:32" s="1568" customFormat="1" ht="39.75" customHeight="1">
      <c r="A40" s="917"/>
      <c r="B40" s="1563"/>
      <c r="C40" s="1563"/>
      <c r="D40" s="288"/>
      <c r="F40" s="2467" t="s">
        <v>814</v>
      </c>
      <c r="G40" s="2467"/>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83</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C7BB1-8D49-390F-D81D-1B55A28062C7}">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32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26"/>
      <c r="F3" s="2327"/>
      <c r="X3" s="442">
        <v>75</v>
      </c>
    </row>
    <row r="4" spans="1:24" s="1562" customFormat="1" ht="21" customHeight="1">
      <c r="A4" s="881"/>
      <c r="B4" s="448"/>
      <c r="D4" s="2443" t="str">
        <f>IF(org=0,"Не определено",org)</f>
        <v>МУП "Городские тепловые сети" МО  "город Курчатов"</v>
      </c>
      <c r="E4" s="2444"/>
      <c r="F4" s="2445"/>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118</v>
      </c>
      <c r="J6" s="952"/>
      <c r="X6" s="442">
        <v>1</v>
      </c>
    </row>
    <row r="7" spans="1:24" ht="11.45" customHeight="1">
      <c r="D7" s="648"/>
      <c r="E7" s="2568" t="s">
        <v>106</v>
      </c>
      <c r="F7" s="2569"/>
      <c r="G7" s="2588" t="str">
        <f>IF(G6="","",INDEX(DIFFERENTIATION_UNMERGE_VD,MATCH(G6,DIFFERENTIATION_ID_DIFF,0)))</f>
        <v/>
      </c>
      <c r="H7" s="2589"/>
      <c r="I7" s="2588">
        <f>IF(I6="","",INDEX(DIFFERENTIATION_UNMERGE_VD,MATCH(I6,DIFFERENTIATION_ID_DIFF,0)))</f>
        <v>0</v>
      </c>
      <c r="J7" s="2589"/>
      <c r="K7" s="2401"/>
      <c r="L7" s="446"/>
      <c r="X7" s="442">
        <v>11</v>
      </c>
    </row>
    <row r="8" spans="1:24" ht="11.45" customHeight="1">
      <c r="A8" s="641"/>
      <c r="D8" s="648"/>
      <c r="E8" s="2568" t="s">
        <v>573</v>
      </c>
      <c r="F8" s="2569"/>
      <c r="G8" s="2588" t="str">
        <f>IF(G6="","",INDEX(DIFFERENTIATION_UNMERGE_AREA,MATCH(G6,DIFFERENTIATION_ID_DIFF,0)))</f>
        <v/>
      </c>
      <c r="H8" s="2589"/>
      <c r="I8" s="2588" t="str">
        <f>IF(I6="","",INDEX(DIFFERENTIATION_UNMERGE_AREA,MATCH(I6,DIFFERENTIATION_ID_DIFF,0)))</f>
        <v/>
      </c>
      <c r="J8" s="2589"/>
      <c r="K8" s="2406"/>
      <c r="L8" s="446"/>
      <c r="X8" s="442">
        <v>11</v>
      </c>
    </row>
    <row r="9" spans="1:24" ht="11.45" customHeight="1">
      <c r="A9" s="641"/>
      <c r="D9" s="648"/>
      <c r="E9" s="2568" t="s">
        <v>574</v>
      </c>
      <c r="F9" s="2569"/>
      <c r="G9" s="2588" t="str">
        <f>IF(G6="","",INDEX(DIFFERENTIATION_UNMERGE_SYSTEM,MATCH(G6,DIFFERENTIATION_ID_DIFF,0)))</f>
        <v/>
      </c>
      <c r="H9" s="2589"/>
      <c r="I9" s="2588" t="str">
        <f>IF(I6="","",INDEX(DIFFERENTIATION_UNMERGE_SYSTEM,MATCH(I6,DIFFERENTIATION_ID_DIFF,0)))</f>
        <v>без дифференциации</v>
      </c>
      <c r="J9" s="2589"/>
      <c r="K9" s="2406"/>
      <c r="L9" s="446"/>
      <c r="X9" s="442">
        <v>11</v>
      </c>
    </row>
    <row r="10" spans="1:24" s="1562" customFormat="1" ht="11.45" customHeight="1">
      <c r="A10" s="951"/>
      <c r="B10" s="448"/>
      <c r="D10" s="2314" t="s">
        <v>307</v>
      </c>
      <c r="E10" s="2319"/>
      <c r="F10" s="2319"/>
      <c r="G10" s="2319"/>
      <c r="H10" s="2319"/>
      <c r="I10" s="2319"/>
      <c r="J10" s="2313"/>
      <c r="K10" s="2406"/>
      <c r="L10" s="446"/>
      <c r="X10" s="693">
        <v>11</v>
      </c>
    </row>
    <row r="11" spans="1:24" s="1562" customFormat="1" ht="24" customHeight="1">
      <c r="A11" s="2467"/>
      <c r="B11" s="2467"/>
      <c r="C11" s="594"/>
      <c r="D11" s="640" t="s">
        <v>89</v>
      </c>
      <c r="E11" s="642" t="s">
        <v>815</v>
      </c>
      <c r="F11" s="642" t="s">
        <v>575</v>
      </c>
      <c r="G11" s="402" t="s">
        <v>310</v>
      </c>
      <c r="H11" s="402" t="s">
        <v>397</v>
      </c>
      <c r="I11" s="738" t="s">
        <v>310</v>
      </c>
      <c r="J11" s="739" t="s">
        <v>397</v>
      </c>
      <c r="K11" s="2454"/>
      <c r="L11" s="595"/>
      <c r="X11" s="446">
        <v>23</v>
      </c>
    </row>
    <row r="12" spans="1:24" s="1569" customFormat="1" ht="10.5" customHeight="1">
      <c r="A12" s="882"/>
      <c r="D12" s="955" t="s">
        <v>110</v>
      </c>
      <c r="E12" s="955" t="s">
        <v>111</v>
      </c>
      <c r="F12" s="955" t="s">
        <v>91</v>
      </c>
      <c r="G12" s="956" t="str">
        <f>G1&amp;".1"</f>
        <v>4.1</v>
      </c>
      <c r="H12" s="956" t="str">
        <f>G1&amp;".2"</f>
        <v>4.2</v>
      </c>
      <c r="I12" s="956" t="str">
        <f>I1&amp;".1"</f>
        <v>4.1</v>
      </c>
      <c r="J12" s="956" t="str">
        <f>I1&amp;".2"</f>
        <v>4.2</v>
      </c>
      <c r="K12" s="956"/>
      <c r="X12" s="448">
        <v>10</v>
      </c>
    </row>
    <row r="13" spans="1:24" ht="22.5" customHeight="1">
      <c r="A13" s="2590" t="s">
        <v>816</v>
      </c>
      <c r="D13" s="883" t="s">
        <v>110</v>
      </c>
      <c r="E13" s="217" t="s">
        <v>817</v>
      </c>
      <c r="F13" s="597" t="s">
        <v>818</v>
      </c>
      <c r="G13" s="494"/>
      <c r="H13" s="598"/>
      <c r="I13" s="494"/>
      <c r="J13" s="598"/>
      <c r="K13" s="227" t="s">
        <v>819</v>
      </c>
      <c r="L13" s="657"/>
      <c r="X13" s="442">
        <v>0</v>
      </c>
    </row>
    <row r="14" spans="1:24" ht="22.5" customHeight="1">
      <c r="A14" s="2590"/>
      <c r="D14" s="476" t="s">
        <v>111</v>
      </c>
      <c r="E14" s="217" t="s">
        <v>820</v>
      </c>
      <c r="F14" s="597" t="s">
        <v>821</v>
      </c>
      <c r="G14" s="494"/>
      <c r="H14" s="599"/>
      <c r="I14" s="494"/>
      <c r="J14" s="599"/>
      <c r="K14" s="227" t="s">
        <v>822</v>
      </c>
      <c r="L14" s="657"/>
      <c r="X14" s="442">
        <v>0</v>
      </c>
    </row>
    <row r="15" spans="1:24" s="1562" customFormat="1" ht="78.75" customHeight="1">
      <c r="A15" s="2590"/>
      <c r="B15" s="448"/>
      <c r="D15" s="883" t="s">
        <v>91</v>
      </c>
      <c r="E15" s="644" t="s">
        <v>823</v>
      </c>
      <c r="F15" s="880" t="s">
        <v>313</v>
      </c>
      <c r="G15" s="880" t="s">
        <v>313</v>
      </c>
      <c r="H15" s="46"/>
      <c r="I15" s="880" t="s">
        <v>313</v>
      </c>
      <c r="J15" s="46"/>
      <c r="K15" s="227" t="s">
        <v>824</v>
      </c>
      <c r="L15" s="657"/>
      <c r="X15" s="693">
        <v>0</v>
      </c>
    </row>
    <row r="16" spans="1:24" s="1562" customFormat="1" ht="22.5" customHeight="1">
      <c r="A16" s="2590"/>
      <c r="B16" s="448"/>
      <c r="D16" s="883" t="s">
        <v>331</v>
      </c>
      <c r="E16" s="884" t="s">
        <v>825</v>
      </c>
      <c r="F16" s="880" t="s">
        <v>826</v>
      </c>
      <c r="G16" s="748"/>
      <c r="H16" s="46"/>
      <c r="I16" s="748"/>
      <c r="J16" s="46"/>
      <c r="K16" s="227"/>
      <c r="L16" s="657"/>
      <c r="X16" s="693">
        <v>0</v>
      </c>
    </row>
    <row r="17" spans="1:24" s="1562" customFormat="1" ht="22.5" customHeight="1">
      <c r="A17" s="2590"/>
      <c r="B17" s="448"/>
      <c r="D17" s="883" t="s">
        <v>339</v>
      </c>
      <c r="E17" s="884" t="s">
        <v>827</v>
      </c>
      <c r="F17" s="880" t="s">
        <v>828</v>
      </c>
      <c r="G17" s="748"/>
      <c r="H17" s="46"/>
      <c r="I17" s="748"/>
      <c r="J17" s="46"/>
      <c r="K17" s="227"/>
      <c r="L17" s="657"/>
      <c r="X17" s="693">
        <v>0</v>
      </c>
    </row>
    <row r="18" spans="1:24" s="1562" customFormat="1" ht="33.75" customHeight="1">
      <c r="A18" s="2590"/>
      <c r="B18" s="448"/>
      <c r="D18" s="883" t="s">
        <v>341</v>
      </c>
      <c r="E18" s="884" t="s">
        <v>829</v>
      </c>
      <c r="F18" s="880" t="s">
        <v>580</v>
      </c>
      <c r="G18" s="617"/>
      <c r="H18" s="46"/>
      <c r="I18" s="617"/>
      <c r="J18" s="46"/>
      <c r="K18" s="227"/>
      <c r="L18" s="657"/>
      <c r="X18" s="693">
        <v>0</v>
      </c>
    </row>
    <row r="19" spans="1:24" ht="101.25" customHeight="1">
      <c r="A19" s="2590"/>
      <c r="D19" s="883" t="s">
        <v>92</v>
      </c>
      <c r="E19" s="217" t="s">
        <v>830</v>
      </c>
      <c r="F19" s="597" t="s">
        <v>555</v>
      </c>
      <c r="G19" s="600"/>
      <c r="H19" s="599"/>
      <c r="I19" s="885"/>
      <c r="J19" s="599"/>
      <c r="K19" s="227" t="s">
        <v>831</v>
      </c>
      <c r="L19" s="657"/>
      <c r="X19" s="442">
        <v>0</v>
      </c>
    </row>
    <row r="20" spans="1:24" s="1562" customFormat="1" ht="18.75" customHeight="1">
      <c r="A20" s="2590"/>
      <c r="C20" s="886"/>
      <c r="D20" s="883" t="s">
        <v>762</v>
      </c>
      <c r="E20" s="884" t="s">
        <v>832</v>
      </c>
      <c r="F20" s="880" t="s">
        <v>313</v>
      </c>
      <c r="G20" s="880" t="s">
        <v>313</v>
      </c>
      <c r="H20" s="879" t="s">
        <v>313</v>
      </c>
      <c r="I20" s="880" t="s">
        <v>313</v>
      </c>
      <c r="J20" s="879" t="s">
        <v>313</v>
      </c>
      <c r="K20" s="878"/>
      <c r="L20" s="657"/>
      <c r="W20" s="612"/>
      <c r="X20" s="693">
        <v>0</v>
      </c>
    </row>
    <row r="21" spans="1:24" s="1562" customFormat="1" ht="33.75" customHeight="1">
      <c r="A21" s="2590"/>
      <c r="C21" s="886"/>
      <c r="D21" s="883" t="s">
        <v>765</v>
      </c>
      <c r="E21" s="513" t="s">
        <v>833</v>
      </c>
      <c r="F21" s="880" t="s">
        <v>834</v>
      </c>
      <c r="G21" s="617"/>
      <c r="H21" s="46"/>
      <c r="I21" s="617"/>
      <c r="J21" s="46"/>
      <c r="K21" s="878"/>
      <c r="L21" s="657"/>
      <c r="W21" s="612"/>
      <c r="X21" s="693">
        <v>0</v>
      </c>
    </row>
    <row r="22" spans="1:24" s="1562" customFormat="1" ht="33.75" customHeight="1">
      <c r="A22" s="2590"/>
      <c r="C22" s="886"/>
      <c r="D22" s="883" t="s">
        <v>768</v>
      </c>
      <c r="E22" s="513" t="s">
        <v>835</v>
      </c>
      <c r="F22" s="880" t="s">
        <v>836</v>
      </c>
      <c r="G22" s="617"/>
      <c r="H22" s="46"/>
      <c r="I22" s="617"/>
      <c r="J22" s="46"/>
      <c r="K22" s="878"/>
      <c r="L22" s="657"/>
      <c r="W22" s="612"/>
      <c r="X22" s="693">
        <v>0</v>
      </c>
    </row>
    <row r="23" spans="1:24" s="1562" customFormat="1" ht="22.5" customHeight="1">
      <c r="A23" s="2590"/>
      <c r="C23" s="886"/>
      <c r="D23" s="883" t="s">
        <v>804</v>
      </c>
      <c r="E23" s="884" t="s">
        <v>837</v>
      </c>
      <c r="F23" s="880" t="s">
        <v>313</v>
      </c>
      <c r="G23" s="880" t="s">
        <v>313</v>
      </c>
      <c r="H23" s="879" t="s">
        <v>313</v>
      </c>
      <c r="I23" s="880" t="s">
        <v>313</v>
      </c>
      <c r="J23" s="879" t="s">
        <v>313</v>
      </c>
      <c r="K23" s="878"/>
      <c r="L23" s="657"/>
      <c r="W23" s="612"/>
      <c r="X23" s="693">
        <v>0</v>
      </c>
    </row>
    <row r="24" spans="1:24" s="1562" customFormat="1" ht="22.5" customHeight="1">
      <c r="A24" s="2590"/>
      <c r="C24" s="886"/>
      <c r="D24" s="883" t="s">
        <v>838</v>
      </c>
      <c r="E24" s="513" t="s">
        <v>839</v>
      </c>
      <c r="F24" s="880" t="s">
        <v>840</v>
      </c>
      <c r="G24" s="617"/>
      <c r="H24" s="623"/>
      <c r="I24" s="617"/>
      <c r="J24" s="623"/>
      <c r="K24" s="878"/>
      <c r="L24" s="657"/>
      <c r="W24" s="612"/>
      <c r="X24" s="693">
        <v>0</v>
      </c>
    </row>
    <row r="25" spans="1:24" s="1562" customFormat="1" ht="22.5" customHeight="1">
      <c r="A25" s="2590"/>
      <c r="C25" s="886"/>
      <c r="D25" s="883" t="s">
        <v>841</v>
      </c>
      <c r="E25" s="513" t="s">
        <v>842</v>
      </c>
      <c r="F25" s="880" t="s">
        <v>313</v>
      </c>
      <c r="G25" s="880" t="s">
        <v>313</v>
      </c>
      <c r="H25" s="879" t="s">
        <v>313</v>
      </c>
      <c r="I25" s="880" t="s">
        <v>313</v>
      </c>
      <c r="J25" s="879" t="s">
        <v>313</v>
      </c>
      <c r="K25" s="878"/>
      <c r="L25" s="657"/>
      <c r="W25" s="612"/>
      <c r="X25" s="693">
        <v>0</v>
      </c>
    </row>
    <row r="26" spans="1:24" s="1562" customFormat="1" ht="18.75" customHeight="1">
      <c r="A26" s="2590"/>
      <c r="C26" s="886"/>
      <c r="D26" s="883" t="s">
        <v>843</v>
      </c>
      <c r="E26" s="490" t="s">
        <v>844</v>
      </c>
      <c r="F26" s="880" t="s">
        <v>845</v>
      </c>
      <c r="G26" s="617"/>
      <c r="H26" s="623"/>
      <c r="I26" s="617"/>
      <c r="J26" s="623"/>
      <c r="K26" s="878"/>
      <c r="L26" s="657"/>
      <c r="W26" s="612"/>
      <c r="X26" s="693">
        <v>0</v>
      </c>
    </row>
    <row r="27" spans="1:24" s="1562" customFormat="1" ht="18.75" customHeight="1">
      <c r="A27" s="2590"/>
      <c r="C27" s="886"/>
      <c r="D27" s="883" t="s">
        <v>846</v>
      </c>
      <c r="E27" s="490" t="s">
        <v>847</v>
      </c>
      <c r="F27" s="880" t="s">
        <v>848</v>
      </c>
      <c r="G27" s="617"/>
      <c r="H27" s="623"/>
      <c r="I27" s="617"/>
      <c r="J27" s="623"/>
      <c r="K27" s="878"/>
      <c r="L27" s="657"/>
      <c r="W27" s="612"/>
      <c r="X27" s="693">
        <v>0</v>
      </c>
    </row>
    <row r="28" spans="1:24" s="1562" customFormat="1" ht="18.75" customHeight="1">
      <c r="A28" s="2590"/>
      <c r="C28" s="886"/>
      <c r="D28" s="883" t="s">
        <v>849</v>
      </c>
      <c r="E28" s="513" t="s">
        <v>850</v>
      </c>
      <c r="F28" s="880" t="s">
        <v>313</v>
      </c>
      <c r="G28" s="880" t="s">
        <v>313</v>
      </c>
      <c r="H28" s="879" t="s">
        <v>313</v>
      </c>
      <c r="I28" s="880" t="s">
        <v>313</v>
      </c>
      <c r="J28" s="879" t="s">
        <v>313</v>
      </c>
      <c r="K28" s="878"/>
      <c r="L28" s="657"/>
      <c r="W28" s="612"/>
      <c r="X28" s="693">
        <v>0</v>
      </c>
    </row>
    <row r="29" spans="1:24" s="1562" customFormat="1" ht="18.75" customHeight="1">
      <c r="A29" s="2590"/>
      <c r="C29" s="886"/>
      <c r="D29" s="883" t="s">
        <v>851</v>
      </c>
      <c r="E29" s="490" t="s">
        <v>844</v>
      </c>
      <c r="F29" s="880" t="s">
        <v>852</v>
      </c>
      <c r="G29" s="617"/>
      <c r="H29" s="623"/>
      <c r="I29" s="617"/>
      <c r="J29" s="623"/>
      <c r="K29" s="878"/>
      <c r="L29" s="657"/>
      <c r="W29" s="612"/>
      <c r="X29" s="693">
        <v>0</v>
      </c>
    </row>
    <row r="30" spans="1:24" s="1562" customFormat="1" ht="18.75" customHeight="1">
      <c r="A30" s="2590"/>
      <c r="C30" s="886"/>
      <c r="D30" s="883" t="s">
        <v>853</v>
      </c>
      <c r="E30" s="490" t="s">
        <v>854</v>
      </c>
      <c r="F30" s="880" t="s">
        <v>855</v>
      </c>
      <c r="G30" s="617"/>
      <c r="H30" s="623"/>
      <c r="I30" s="617"/>
      <c r="J30" s="623"/>
      <c r="K30" s="878"/>
      <c r="L30" s="657"/>
      <c r="W30" s="612"/>
      <c r="X30" s="693">
        <v>0</v>
      </c>
    </row>
    <row r="31" spans="1:24" ht="126.75" customHeight="1">
      <c r="A31" s="2590"/>
      <c r="D31" s="883" t="s">
        <v>112</v>
      </c>
      <c r="E31" s="217" t="s">
        <v>856</v>
      </c>
      <c r="F31" s="597" t="s">
        <v>567</v>
      </c>
      <c r="G31" s="494"/>
      <c r="H31" s="599"/>
      <c r="I31" s="494"/>
      <c r="J31" s="599"/>
      <c r="K31" s="227" t="s">
        <v>857</v>
      </c>
      <c r="L31" s="657"/>
      <c r="X31" s="442">
        <v>0</v>
      </c>
    </row>
    <row r="32" spans="1:24" ht="56.25" customHeight="1">
      <c r="A32" s="2590"/>
      <c r="D32" s="883" t="s">
        <v>93</v>
      </c>
      <c r="E32" s="217" t="s">
        <v>858</v>
      </c>
      <c r="F32" s="476" t="s">
        <v>828</v>
      </c>
      <c r="G32" s="494"/>
      <c r="H32" s="599"/>
      <c r="I32" s="494"/>
      <c r="J32" s="599"/>
      <c r="K32" s="227" t="s">
        <v>859</v>
      </c>
      <c r="L32" s="657"/>
      <c r="X32" s="442">
        <v>0</v>
      </c>
    </row>
    <row r="33" spans="1:24" ht="11.25" customHeight="1">
      <c r="A33" s="2590"/>
      <c r="E33" s="601"/>
      <c r="F33" s="119"/>
      <c r="G33" s="119"/>
      <c r="H33" s="119"/>
      <c r="I33" s="119"/>
      <c r="J33" s="119"/>
      <c r="K33" s="119"/>
      <c r="X33" s="442">
        <v>0</v>
      </c>
    </row>
    <row r="34" spans="1:24" ht="12.75" customHeight="1">
      <c r="A34" s="2590"/>
      <c r="D34" s="5">
        <v>1</v>
      </c>
      <c r="E34" s="273" t="s">
        <v>860</v>
      </c>
      <c r="X34" s="442">
        <v>0</v>
      </c>
    </row>
    <row r="35" spans="1:24" ht="11.25" customHeight="1">
      <c r="A35" s="2590"/>
      <c r="D35" s="306"/>
      <c r="E35" s="273" t="s">
        <v>861</v>
      </c>
      <c r="X35" s="442">
        <v>0</v>
      </c>
    </row>
    <row r="36" spans="1:24" s="1562" customFormat="1" ht="11.45" customHeight="1">
      <c r="A36" s="963"/>
      <c r="B36" s="455"/>
      <c r="D36" s="964"/>
      <c r="E36" s="965"/>
      <c r="X36" s="446">
        <v>11</v>
      </c>
    </row>
    <row r="37" spans="1:24" s="1562" customFormat="1" ht="22.5" hidden="1" customHeight="1">
      <c r="A37" s="2590" t="s">
        <v>862</v>
      </c>
      <c r="B37" s="448"/>
      <c r="D37" s="883">
        <v>1</v>
      </c>
      <c r="E37" s="644" t="s">
        <v>863</v>
      </c>
      <c r="F37" s="597" t="s">
        <v>818</v>
      </c>
      <c r="G37" s="494"/>
      <c r="H37" s="456"/>
      <c r="I37" s="494"/>
      <c r="J37" s="456"/>
      <c r="K37" s="227" t="s">
        <v>864</v>
      </c>
      <c r="X37" s="693">
        <v>0</v>
      </c>
    </row>
    <row r="38" spans="1:24" s="1562" customFormat="1" ht="22.5" hidden="1" customHeight="1">
      <c r="A38" s="2590"/>
      <c r="B38" s="448"/>
      <c r="D38" s="606" t="s">
        <v>111</v>
      </c>
      <c r="E38" s="962" t="s">
        <v>865</v>
      </c>
      <c r="F38" s="966" t="s">
        <v>555</v>
      </c>
      <c r="G38" s="966" t="s">
        <v>555</v>
      </c>
      <c r="H38" s="960"/>
      <c r="I38" s="966" t="s">
        <v>555</v>
      </c>
      <c r="J38" s="960"/>
      <c r="K38" s="961"/>
      <c r="X38" s="693">
        <v>0</v>
      </c>
    </row>
    <row r="39" spans="1:24" s="1562" customFormat="1" ht="33.75" hidden="1" customHeight="1">
      <c r="A39" s="2590"/>
      <c r="B39" s="448"/>
      <c r="D39" s="602" t="s">
        <v>720</v>
      </c>
      <c r="E39" s="660" t="s">
        <v>866</v>
      </c>
      <c r="F39" s="597" t="s">
        <v>867</v>
      </c>
      <c r="G39" s="605"/>
      <c r="H39" s="953"/>
      <c r="I39" s="605"/>
      <c r="J39" s="953"/>
      <c r="K39" s="227" t="s">
        <v>868</v>
      </c>
      <c r="X39" s="693">
        <v>0</v>
      </c>
    </row>
    <row r="40" spans="1:24" s="1562" customFormat="1" ht="33.75" hidden="1" customHeight="1">
      <c r="A40" s="2590"/>
      <c r="B40" s="448"/>
      <c r="D40" s="602" t="s">
        <v>723</v>
      </c>
      <c r="E40" s="660" t="s">
        <v>869</v>
      </c>
      <c r="F40" s="957" t="s">
        <v>870</v>
      </c>
      <c r="G40" s="678"/>
      <c r="H40" s="953"/>
      <c r="I40" s="678"/>
      <c r="J40" s="953"/>
      <c r="K40" s="227" t="s">
        <v>871</v>
      </c>
      <c r="X40" s="693">
        <v>0</v>
      </c>
    </row>
    <row r="41" spans="1:24" s="1562" customFormat="1" ht="22.5" hidden="1" customHeight="1">
      <c r="A41" s="2590"/>
      <c r="B41" s="448"/>
      <c r="D41" s="602" t="s">
        <v>91</v>
      </c>
      <c r="E41" s="659" t="s">
        <v>872</v>
      </c>
      <c r="F41" s="597" t="s">
        <v>555</v>
      </c>
      <c r="G41" s="597" t="s">
        <v>555</v>
      </c>
      <c r="H41" s="954"/>
      <c r="I41" s="597" t="s">
        <v>555</v>
      </c>
      <c r="J41" s="954"/>
      <c r="K41" s="240"/>
      <c r="X41" s="693">
        <v>0</v>
      </c>
    </row>
    <row r="42" spans="1:24" s="1562" customFormat="1" ht="45" hidden="1" customHeight="1">
      <c r="A42" s="2590"/>
      <c r="B42" s="448"/>
      <c r="D42" s="602" t="s">
        <v>331</v>
      </c>
      <c r="E42" s="660" t="s">
        <v>873</v>
      </c>
      <c r="F42" s="597" t="s">
        <v>567</v>
      </c>
      <c r="G42" s="494"/>
      <c r="H42" s="954"/>
      <c r="I42" s="494"/>
      <c r="J42" s="954"/>
      <c r="K42" s="240" t="s">
        <v>874</v>
      </c>
      <c r="X42" s="693">
        <v>0</v>
      </c>
    </row>
    <row r="43" spans="1:24" s="1562" customFormat="1" ht="45" hidden="1" customHeight="1">
      <c r="A43" s="2590"/>
      <c r="B43" s="448"/>
      <c r="D43" s="602" t="s">
        <v>339</v>
      </c>
      <c r="E43" s="604" t="s">
        <v>875</v>
      </c>
      <c r="F43" s="958" t="s">
        <v>567</v>
      </c>
      <c r="G43" s="679"/>
      <c r="H43" s="953"/>
      <c r="I43" s="679"/>
      <c r="J43" s="953"/>
      <c r="K43" s="240" t="s">
        <v>876</v>
      </c>
      <c r="X43" s="693">
        <v>0</v>
      </c>
    </row>
    <row r="44" spans="1:24" s="1562" customFormat="1" ht="11.25" hidden="1" customHeight="1">
      <c r="A44" s="2590"/>
      <c r="B44" s="448"/>
      <c r="D44" s="602" t="s">
        <v>92</v>
      </c>
      <c r="E44" s="603" t="s">
        <v>877</v>
      </c>
      <c r="F44" s="597" t="s">
        <v>867</v>
      </c>
      <c r="G44" s="605"/>
      <c r="H44" s="953"/>
      <c r="I44" s="605"/>
      <c r="J44" s="953"/>
      <c r="K44" s="227"/>
      <c r="X44" s="693">
        <v>0</v>
      </c>
    </row>
    <row r="45" spans="1:24" s="1562" customFormat="1" ht="11.25" hidden="1" customHeight="1">
      <c r="A45" s="2590"/>
      <c r="B45" s="448"/>
      <c r="D45" s="602" t="s">
        <v>762</v>
      </c>
      <c r="E45" s="604" t="s">
        <v>878</v>
      </c>
      <c r="F45" s="597" t="s">
        <v>867</v>
      </c>
      <c r="G45" s="605"/>
      <c r="H45" s="953"/>
      <c r="I45" s="605"/>
      <c r="J45" s="953"/>
      <c r="K45" s="227"/>
      <c r="X45" s="693">
        <v>0</v>
      </c>
    </row>
    <row r="46" spans="1:24" s="1562" customFormat="1" ht="11.25" hidden="1" customHeight="1">
      <c r="A46" s="2590"/>
      <c r="B46" s="448"/>
      <c r="D46" s="602" t="s">
        <v>804</v>
      </c>
      <c r="E46" s="604" t="s">
        <v>879</v>
      </c>
      <c r="F46" s="597" t="s">
        <v>867</v>
      </c>
      <c r="G46" s="605"/>
      <c r="H46" s="953"/>
      <c r="I46" s="605"/>
      <c r="J46" s="953"/>
      <c r="K46" s="227"/>
      <c r="X46" s="693">
        <v>0</v>
      </c>
    </row>
    <row r="47" spans="1:24" s="1562" customFormat="1" ht="11.25" hidden="1" customHeight="1">
      <c r="A47" s="2590"/>
      <c r="B47" s="448"/>
      <c r="D47" s="602" t="s">
        <v>807</v>
      </c>
      <c r="E47" s="604" t="s">
        <v>880</v>
      </c>
      <c r="F47" s="597" t="s">
        <v>867</v>
      </c>
      <c r="G47" s="605"/>
      <c r="H47" s="953"/>
      <c r="I47" s="605"/>
      <c r="J47" s="953"/>
      <c r="K47" s="227"/>
      <c r="X47" s="693">
        <v>0</v>
      </c>
    </row>
    <row r="48" spans="1:24" s="1562" customFormat="1" ht="11.25" hidden="1" customHeight="1">
      <c r="A48" s="2590"/>
      <c r="B48" s="448"/>
      <c r="D48" s="602" t="s">
        <v>881</v>
      </c>
      <c r="E48" s="608" t="s">
        <v>882</v>
      </c>
      <c r="F48" s="597" t="s">
        <v>867</v>
      </c>
      <c r="G48" s="605"/>
      <c r="H48" s="953"/>
      <c r="I48" s="605"/>
      <c r="J48" s="953"/>
      <c r="K48" s="227"/>
      <c r="X48" s="693">
        <v>0</v>
      </c>
    </row>
    <row r="49" spans="1:24" s="1562" customFormat="1" ht="11.25" hidden="1" customHeight="1">
      <c r="A49" s="2590"/>
      <c r="B49" s="448"/>
      <c r="D49" s="602" t="s">
        <v>883</v>
      </c>
      <c r="E49" s="608" t="s">
        <v>884</v>
      </c>
      <c r="F49" s="597" t="s">
        <v>867</v>
      </c>
      <c r="G49" s="605"/>
      <c r="H49" s="953"/>
      <c r="I49" s="605"/>
      <c r="J49" s="953"/>
      <c r="K49" s="227"/>
      <c r="X49" s="693">
        <v>0</v>
      </c>
    </row>
    <row r="50" spans="1:24" s="1562" customFormat="1" ht="11.25" hidden="1" customHeight="1">
      <c r="A50" s="2590"/>
      <c r="B50" s="448"/>
      <c r="D50" s="602" t="s">
        <v>885</v>
      </c>
      <c r="E50" s="604" t="s">
        <v>886</v>
      </c>
      <c r="F50" s="597" t="s">
        <v>867</v>
      </c>
      <c r="G50" s="605"/>
      <c r="H50" s="953"/>
      <c r="I50" s="605"/>
      <c r="J50" s="953"/>
      <c r="K50" s="227"/>
      <c r="X50" s="693">
        <v>0</v>
      </c>
    </row>
    <row r="51" spans="1:24" s="1562" customFormat="1" ht="11.25" hidden="1" customHeight="1">
      <c r="A51" s="2590"/>
      <c r="B51" s="448"/>
      <c r="D51" s="602" t="s">
        <v>887</v>
      </c>
      <c r="E51" s="604" t="s">
        <v>888</v>
      </c>
      <c r="F51" s="597" t="s">
        <v>867</v>
      </c>
      <c r="G51" s="605"/>
      <c r="H51" s="953"/>
      <c r="I51" s="605"/>
      <c r="J51" s="953"/>
      <c r="K51" s="227"/>
      <c r="X51" s="693">
        <v>0</v>
      </c>
    </row>
    <row r="52" spans="1:24" s="1562" customFormat="1" ht="45" hidden="1" customHeight="1">
      <c r="A52" s="2590"/>
      <c r="B52" s="448"/>
      <c r="D52" s="602" t="s">
        <v>112</v>
      </c>
      <c r="E52" s="603" t="s">
        <v>889</v>
      </c>
      <c r="F52" s="597" t="s">
        <v>867</v>
      </c>
      <c r="G52" s="605"/>
      <c r="H52" s="953"/>
      <c r="I52" s="605"/>
      <c r="J52" s="953"/>
      <c r="K52" s="227"/>
      <c r="X52" s="693">
        <v>0</v>
      </c>
    </row>
    <row r="53" spans="1:24" s="1562" customFormat="1" ht="11.25" hidden="1" customHeight="1">
      <c r="A53" s="2590"/>
      <c r="B53" s="448"/>
      <c r="D53" s="602" t="s">
        <v>320</v>
      </c>
      <c r="E53" s="604" t="s">
        <v>878</v>
      </c>
      <c r="F53" s="597" t="s">
        <v>867</v>
      </c>
      <c r="G53" s="605"/>
      <c r="H53" s="953"/>
      <c r="I53" s="605"/>
      <c r="J53" s="953"/>
      <c r="K53" s="227"/>
      <c r="X53" s="693">
        <v>0</v>
      </c>
    </row>
    <row r="54" spans="1:24" s="1562" customFormat="1" ht="11.25" hidden="1" customHeight="1">
      <c r="A54" s="2590"/>
      <c r="B54" s="448"/>
      <c r="D54" s="602" t="s">
        <v>890</v>
      </c>
      <c r="E54" s="604" t="s">
        <v>879</v>
      </c>
      <c r="F54" s="597" t="s">
        <v>867</v>
      </c>
      <c r="G54" s="605"/>
      <c r="H54" s="953"/>
      <c r="I54" s="605"/>
      <c r="J54" s="953"/>
      <c r="K54" s="227"/>
      <c r="X54" s="693">
        <v>0</v>
      </c>
    </row>
    <row r="55" spans="1:24" s="1562" customFormat="1" ht="11.25" hidden="1" customHeight="1">
      <c r="A55" s="2590"/>
      <c r="B55" s="448"/>
      <c r="D55" s="602" t="s">
        <v>891</v>
      </c>
      <c r="E55" s="604" t="s">
        <v>880</v>
      </c>
      <c r="F55" s="597" t="s">
        <v>867</v>
      </c>
      <c r="G55" s="605"/>
      <c r="H55" s="953"/>
      <c r="I55" s="605"/>
      <c r="J55" s="953"/>
      <c r="K55" s="227"/>
      <c r="X55" s="693">
        <v>0</v>
      </c>
    </row>
    <row r="56" spans="1:24" s="1562" customFormat="1" ht="11.25" hidden="1" customHeight="1">
      <c r="A56" s="2590"/>
      <c r="B56" s="448"/>
      <c r="D56" s="602" t="s">
        <v>892</v>
      </c>
      <c r="E56" s="608" t="s">
        <v>882</v>
      </c>
      <c r="F56" s="597" t="s">
        <v>867</v>
      </c>
      <c r="G56" s="605"/>
      <c r="H56" s="953"/>
      <c r="I56" s="605"/>
      <c r="J56" s="953"/>
      <c r="K56" s="227"/>
      <c r="X56" s="693">
        <v>0</v>
      </c>
    </row>
    <row r="57" spans="1:24" s="1562" customFormat="1" ht="11.25" hidden="1" customHeight="1">
      <c r="A57" s="2590"/>
      <c r="B57" s="448"/>
      <c r="D57" s="602" t="s">
        <v>893</v>
      </c>
      <c r="E57" s="608" t="s">
        <v>884</v>
      </c>
      <c r="F57" s="597" t="s">
        <v>867</v>
      </c>
      <c r="G57" s="605"/>
      <c r="H57" s="953"/>
      <c r="I57" s="605"/>
      <c r="J57" s="953"/>
      <c r="K57" s="227"/>
      <c r="X57" s="693">
        <v>0</v>
      </c>
    </row>
    <row r="58" spans="1:24" s="1562" customFormat="1" ht="11.25" hidden="1" customHeight="1">
      <c r="A58" s="2590"/>
      <c r="B58" s="448"/>
      <c r="D58" s="602" t="s">
        <v>894</v>
      </c>
      <c r="E58" s="604" t="s">
        <v>886</v>
      </c>
      <c r="F58" s="597" t="s">
        <v>867</v>
      </c>
      <c r="G58" s="605"/>
      <c r="H58" s="953"/>
      <c r="I58" s="605"/>
      <c r="J58" s="953"/>
      <c r="K58" s="227"/>
      <c r="X58" s="693">
        <v>0</v>
      </c>
    </row>
    <row r="59" spans="1:24" s="1562" customFormat="1" ht="11.25" hidden="1" customHeight="1">
      <c r="A59" s="2590"/>
      <c r="B59" s="448"/>
      <c r="D59" s="602" t="s">
        <v>895</v>
      </c>
      <c r="E59" s="604" t="s">
        <v>888</v>
      </c>
      <c r="F59" s="597" t="s">
        <v>867</v>
      </c>
      <c r="G59" s="605"/>
      <c r="H59" s="953"/>
      <c r="I59" s="605"/>
      <c r="J59" s="953"/>
      <c r="K59" s="227"/>
      <c r="X59" s="693">
        <v>0</v>
      </c>
    </row>
    <row r="60" spans="1:24" s="1562" customFormat="1" ht="33.75" hidden="1" customHeight="1">
      <c r="A60" s="2590"/>
      <c r="B60" s="448"/>
      <c r="D60" s="602" t="s">
        <v>93</v>
      </c>
      <c r="E60" s="603" t="s">
        <v>896</v>
      </c>
      <c r="F60" s="658" t="s">
        <v>567</v>
      </c>
      <c r="G60" s="679"/>
      <c r="H60" s="953"/>
      <c r="I60" s="679"/>
      <c r="J60" s="953"/>
      <c r="K60" s="240" t="s">
        <v>897</v>
      </c>
      <c r="X60" s="693">
        <v>0</v>
      </c>
    </row>
    <row r="61" spans="1:24" s="1562" customFormat="1" ht="33.75" hidden="1" customHeight="1">
      <c r="A61" s="2590"/>
      <c r="B61" s="448"/>
      <c r="D61" s="602" t="s">
        <v>94</v>
      </c>
      <c r="E61" s="603" t="s">
        <v>898</v>
      </c>
      <c r="F61" s="663" t="s">
        <v>828</v>
      </c>
      <c r="G61" s="605"/>
      <c r="H61" s="953"/>
      <c r="I61" s="605"/>
      <c r="J61" s="953"/>
      <c r="K61" s="227"/>
      <c r="X61" s="693">
        <v>0</v>
      </c>
    </row>
    <row r="62" spans="1:24" s="1562" customFormat="1" ht="22.5" hidden="1" customHeight="1">
      <c r="A62" s="2590"/>
      <c r="B62" s="448" t="s">
        <v>597</v>
      </c>
      <c r="D62" s="602" t="s">
        <v>113</v>
      </c>
      <c r="E62" s="603" t="s">
        <v>899</v>
      </c>
      <c r="F62" s="663" t="s">
        <v>313</v>
      </c>
      <c r="G62" s="319"/>
      <c r="H62" s="953"/>
      <c r="I62" s="319"/>
      <c r="J62" s="953"/>
      <c r="K62" s="227" t="s">
        <v>640</v>
      </c>
      <c r="X62" s="693">
        <v>0</v>
      </c>
    </row>
    <row r="63" spans="1:24" s="1562" customFormat="1" ht="45" hidden="1" customHeight="1">
      <c r="A63" s="2590"/>
      <c r="B63" s="448" t="s">
        <v>597</v>
      </c>
      <c r="D63" s="602" t="s">
        <v>900</v>
      </c>
      <c r="E63" s="604" t="s">
        <v>901</v>
      </c>
      <c r="F63" s="658" t="s">
        <v>313</v>
      </c>
      <c r="G63" s="319"/>
      <c r="H63" s="953"/>
      <c r="I63" s="319"/>
      <c r="J63" s="953"/>
      <c r="K63" s="227" t="s">
        <v>640</v>
      </c>
      <c r="X63" s="693">
        <v>0</v>
      </c>
    </row>
    <row r="64" spans="1:24" s="1562" customFormat="1" ht="11.45" customHeight="1">
      <c r="A64" s="963"/>
      <c r="B64" s="455"/>
      <c r="D64" s="964"/>
      <c r="E64" s="965"/>
      <c r="X64" s="446">
        <v>11</v>
      </c>
    </row>
    <row r="65" spans="1:24" s="1562" customFormat="1" ht="22.5" hidden="1" customHeight="1">
      <c r="A65" s="2590" t="s">
        <v>902</v>
      </c>
      <c r="B65" s="448"/>
      <c r="D65" s="602">
        <v>1</v>
      </c>
      <c r="E65" s="681" t="s">
        <v>903</v>
      </c>
      <c r="F65" s="677" t="s">
        <v>818</v>
      </c>
      <c r="G65" s="678"/>
      <c r="H65" s="959"/>
      <c r="I65" s="678"/>
      <c r="J65" s="959"/>
      <c r="K65" s="239" t="s">
        <v>904</v>
      </c>
      <c r="X65" s="693">
        <v>0</v>
      </c>
    </row>
    <row r="66" spans="1:24" s="1562" customFormat="1" ht="56.25" hidden="1" customHeight="1">
      <c r="A66" s="2590"/>
      <c r="B66" s="448"/>
      <c r="D66" s="680" t="s">
        <v>111</v>
      </c>
      <c r="E66" s="644" t="s">
        <v>905</v>
      </c>
      <c r="F66" s="597" t="s">
        <v>555</v>
      </c>
      <c r="G66" s="597" t="s">
        <v>555</v>
      </c>
      <c r="H66" s="456"/>
      <c r="I66" s="597" t="s">
        <v>555</v>
      </c>
      <c r="J66" s="456"/>
      <c r="K66" s="227"/>
      <c r="X66" s="693">
        <v>0</v>
      </c>
    </row>
    <row r="67" spans="1:24" s="1562" customFormat="1" ht="33.75" hidden="1" customHeight="1">
      <c r="A67" s="2590"/>
      <c r="B67" s="448"/>
      <c r="D67" s="680" t="s">
        <v>717</v>
      </c>
      <c r="E67" s="884" t="s">
        <v>906</v>
      </c>
      <c r="F67" s="597" t="s">
        <v>870</v>
      </c>
      <c r="G67" s="664"/>
      <c r="H67" s="456"/>
      <c r="I67" s="664"/>
      <c r="J67" s="456"/>
      <c r="K67" s="227"/>
      <c r="X67" s="693">
        <v>0</v>
      </c>
    </row>
    <row r="68" spans="1:24" s="1562" customFormat="1" ht="22.5" hidden="1" customHeight="1">
      <c r="A68" s="2590"/>
      <c r="B68" s="448"/>
      <c r="D68" s="680" t="s">
        <v>314</v>
      </c>
      <c r="E68" s="884" t="s">
        <v>907</v>
      </c>
      <c r="F68" s="597" t="s">
        <v>870</v>
      </c>
      <c r="G68" s="664"/>
      <c r="H68" s="456"/>
      <c r="I68" s="664"/>
      <c r="J68" s="456"/>
      <c r="K68" s="227"/>
      <c r="X68" s="693">
        <v>0</v>
      </c>
    </row>
    <row r="69" spans="1:24" s="1562" customFormat="1" ht="22.5" hidden="1" customHeight="1">
      <c r="A69" s="2590"/>
      <c r="B69" s="448"/>
      <c r="D69" s="680" t="s">
        <v>317</v>
      </c>
      <c r="E69" s="884" t="s">
        <v>908</v>
      </c>
      <c r="F69" s="658" t="s">
        <v>567</v>
      </c>
      <c r="G69" s="679"/>
      <c r="H69" s="456"/>
      <c r="I69" s="679"/>
      <c r="J69" s="456"/>
      <c r="K69" s="227"/>
      <c r="X69" s="693">
        <v>0</v>
      </c>
    </row>
    <row r="70" spans="1:24" s="1562" customFormat="1" ht="22.5" hidden="1" customHeight="1">
      <c r="A70" s="2590"/>
      <c r="B70" s="448"/>
      <c r="D70" s="680" t="s">
        <v>737</v>
      </c>
      <c r="E70" s="884" t="s">
        <v>909</v>
      </c>
      <c r="F70" s="658" t="s">
        <v>567</v>
      </c>
      <c r="G70" s="679"/>
      <c r="H70" s="456"/>
      <c r="I70" s="679"/>
      <c r="J70" s="456"/>
      <c r="K70" s="227"/>
      <c r="X70" s="693">
        <v>0</v>
      </c>
    </row>
    <row r="71" spans="1:24" s="1562" customFormat="1" ht="22.5" hidden="1" customHeight="1">
      <c r="A71" s="2590"/>
      <c r="B71" s="448"/>
      <c r="D71" s="602" t="s">
        <v>91</v>
      </c>
      <c r="E71" s="603" t="s">
        <v>910</v>
      </c>
      <c r="F71" s="597" t="s">
        <v>870</v>
      </c>
      <c r="G71" s="494"/>
      <c r="H71" s="960"/>
      <c r="I71" s="494"/>
      <c r="J71" s="960"/>
      <c r="K71" s="240"/>
      <c r="X71" s="693">
        <v>0</v>
      </c>
    </row>
    <row r="72" spans="1:24" s="1562" customFormat="1" ht="56.25" hidden="1" customHeight="1">
      <c r="A72" s="2590"/>
      <c r="B72" s="448"/>
      <c r="D72" s="602" t="s">
        <v>92</v>
      </c>
      <c r="E72" s="603" t="s">
        <v>911</v>
      </c>
      <c r="F72" s="658" t="s">
        <v>567</v>
      </c>
      <c r="G72" s="679"/>
      <c r="H72" s="953"/>
      <c r="I72" s="679"/>
      <c r="J72" s="953"/>
      <c r="K72" s="240"/>
      <c r="X72" s="693">
        <v>0</v>
      </c>
    </row>
    <row r="73" spans="1:24" s="1562" customFormat="1" ht="33.75" hidden="1" customHeight="1">
      <c r="A73" s="2590"/>
      <c r="B73" s="448"/>
      <c r="D73" s="602" t="s">
        <v>112</v>
      </c>
      <c r="E73" s="603" t="s">
        <v>912</v>
      </c>
      <c r="F73" s="663" t="s">
        <v>828</v>
      </c>
      <c r="G73" s="605"/>
      <c r="H73" s="953"/>
      <c r="I73" s="605"/>
      <c r="J73" s="953"/>
      <c r="K73" s="227"/>
      <c r="X73" s="693">
        <v>0</v>
      </c>
    </row>
    <row r="74" spans="1:24" s="1562" customFormat="1" ht="22.5" hidden="1" customHeight="1">
      <c r="A74" s="2590"/>
      <c r="B74" s="448" t="s">
        <v>597</v>
      </c>
      <c r="D74" s="602" t="s">
        <v>93</v>
      </c>
      <c r="E74" s="603" t="s">
        <v>913</v>
      </c>
      <c r="F74" s="663" t="s">
        <v>313</v>
      </c>
      <c r="G74" s="319"/>
      <c r="H74" s="953"/>
      <c r="I74" s="319"/>
      <c r="J74" s="953"/>
      <c r="K74" s="227" t="s">
        <v>640</v>
      </c>
      <c r="X74" s="693">
        <v>0</v>
      </c>
    </row>
    <row r="75" spans="1:24" s="1562" customFormat="1" ht="45" hidden="1" customHeight="1">
      <c r="A75" s="2590"/>
      <c r="B75" s="448" t="s">
        <v>597</v>
      </c>
      <c r="D75" s="602" t="s">
        <v>661</v>
      </c>
      <c r="E75" s="604" t="s">
        <v>914</v>
      </c>
      <c r="F75" s="658" t="s">
        <v>313</v>
      </c>
      <c r="G75" s="319"/>
      <c r="H75" s="953"/>
      <c r="I75" s="319"/>
      <c r="J75" s="953"/>
      <c r="K75" s="227" t="s">
        <v>640</v>
      </c>
      <c r="X75" s="693">
        <v>0</v>
      </c>
    </row>
    <row r="76" spans="1:24" s="1562" customFormat="1" ht="11.45" customHeight="1">
      <c r="A76" s="963"/>
      <c r="B76" s="455"/>
      <c r="D76" s="964"/>
      <c r="E76" s="965"/>
      <c r="X76" s="446">
        <v>11</v>
      </c>
    </row>
    <row r="77" spans="1:24" s="1562" customFormat="1" ht="11.25" hidden="1" customHeight="1">
      <c r="A77" s="2590" t="s">
        <v>915</v>
      </c>
      <c r="B77" s="448"/>
      <c r="D77" s="602">
        <v>1</v>
      </c>
      <c r="E77" s="603" t="s">
        <v>916</v>
      </c>
      <c r="F77" s="658" t="s">
        <v>818</v>
      </c>
      <c r="G77" s="661"/>
      <c r="H77" s="953"/>
      <c r="I77" s="661"/>
      <c r="J77" s="953"/>
      <c r="K77" s="227" t="s">
        <v>917</v>
      </c>
      <c r="X77" s="693">
        <v>0</v>
      </c>
    </row>
    <row r="78" spans="1:24" s="1562" customFormat="1" ht="11.25" hidden="1" customHeight="1">
      <c r="A78" s="2590"/>
      <c r="B78" s="448"/>
      <c r="D78" s="602" t="s">
        <v>111</v>
      </c>
      <c r="E78" s="603" t="s">
        <v>918</v>
      </c>
      <c r="F78" s="658" t="s">
        <v>818</v>
      </c>
      <c r="G78" s="661"/>
      <c r="H78" s="953"/>
      <c r="I78" s="661"/>
      <c r="J78" s="953"/>
      <c r="K78" s="227" t="s">
        <v>919</v>
      </c>
      <c r="X78" s="693">
        <v>0</v>
      </c>
    </row>
    <row r="79" spans="1:24" s="1562" customFormat="1" ht="22.5" hidden="1" customHeight="1">
      <c r="A79" s="2590"/>
      <c r="B79" s="448"/>
      <c r="D79" s="602" t="s">
        <v>91</v>
      </c>
      <c r="E79" s="659" t="s">
        <v>920</v>
      </c>
      <c r="F79" s="597" t="s">
        <v>867</v>
      </c>
      <c r="G79" s="661"/>
      <c r="H79" s="953"/>
      <c r="I79" s="661"/>
      <c r="J79" s="953"/>
      <c r="K79" s="227" t="s">
        <v>921</v>
      </c>
      <c r="X79" s="693">
        <v>0</v>
      </c>
    </row>
    <row r="80" spans="1:24" s="1562" customFormat="1" ht="11.25" hidden="1" customHeight="1">
      <c r="A80" s="2590"/>
      <c r="B80" s="448"/>
      <c r="D80" s="602" t="s">
        <v>331</v>
      </c>
      <c r="E80" s="660" t="s">
        <v>922</v>
      </c>
      <c r="F80" s="597" t="s">
        <v>867</v>
      </c>
      <c r="G80" s="661"/>
      <c r="H80" s="953"/>
      <c r="I80" s="661"/>
      <c r="J80" s="953"/>
      <c r="K80" s="227"/>
      <c r="X80" s="693">
        <v>0</v>
      </c>
    </row>
    <row r="81" spans="1:24" s="1562" customFormat="1" ht="11.25" hidden="1" customHeight="1">
      <c r="A81" s="2590"/>
      <c r="B81" s="448"/>
      <c r="D81" s="602" t="s">
        <v>339</v>
      </c>
      <c r="E81" s="660" t="s">
        <v>923</v>
      </c>
      <c r="F81" s="597" t="s">
        <v>867</v>
      </c>
      <c r="G81" s="661"/>
      <c r="H81" s="953"/>
      <c r="I81" s="661"/>
      <c r="J81" s="953"/>
      <c r="K81" s="227"/>
      <c r="X81" s="693">
        <v>0</v>
      </c>
    </row>
    <row r="82" spans="1:24" s="1562" customFormat="1" ht="11.25" hidden="1" customHeight="1">
      <c r="A82" s="2590"/>
      <c r="B82" s="448"/>
      <c r="D82" s="602" t="s">
        <v>341</v>
      </c>
      <c r="E82" s="660" t="s">
        <v>924</v>
      </c>
      <c r="F82" s="597" t="s">
        <v>867</v>
      </c>
      <c r="G82" s="661"/>
      <c r="H82" s="953"/>
      <c r="I82" s="661"/>
      <c r="J82" s="953"/>
      <c r="K82" s="227"/>
      <c r="X82" s="693">
        <v>0</v>
      </c>
    </row>
    <row r="83" spans="1:24" s="1562" customFormat="1" ht="11.25" hidden="1" customHeight="1">
      <c r="A83" s="2590"/>
      <c r="B83" s="448"/>
      <c r="D83" s="602" t="s">
        <v>343</v>
      </c>
      <c r="E83" s="660" t="s">
        <v>925</v>
      </c>
      <c r="F83" s="597" t="s">
        <v>867</v>
      </c>
      <c r="G83" s="661"/>
      <c r="H83" s="953"/>
      <c r="I83" s="661"/>
      <c r="J83" s="953"/>
      <c r="K83" s="227"/>
      <c r="X83" s="693">
        <v>0</v>
      </c>
    </row>
    <row r="84" spans="1:24" s="1562" customFormat="1" ht="11.25" hidden="1" customHeight="1">
      <c r="A84" s="2590"/>
      <c r="B84" s="448"/>
      <c r="D84" s="602" t="s">
        <v>926</v>
      </c>
      <c r="E84" s="660" t="s">
        <v>927</v>
      </c>
      <c r="F84" s="597" t="s">
        <v>867</v>
      </c>
      <c r="G84" s="661"/>
      <c r="H84" s="953"/>
      <c r="I84" s="661"/>
      <c r="J84" s="953"/>
      <c r="K84" s="227"/>
      <c r="X84" s="693">
        <v>0</v>
      </c>
    </row>
    <row r="85" spans="1:24" s="1562" customFormat="1" ht="11.25" hidden="1" customHeight="1">
      <c r="A85" s="2590"/>
      <c r="B85" s="448"/>
      <c r="D85" s="602" t="s">
        <v>928</v>
      </c>
      <c r="E85" s="660" t="s">
        <v>929</v>
      </c>
      <c r="F85" s="597" t="s">
        <v>867</v>
      </c>
      <c r="G85" s="661"/>
      <c r="H85" s="953"/>
      <c r="I85" s="661"/>
      <c r="J85" s="953"/>
      <c r="K85" s="227"/>
      <c r="X85" s="693">
        <v>0</v>
      </c>
    </row>
    <row r="86" spans="1:24" s="1562" customFormat="1" ht="11.25" hidden="1" customHeight="1">
      <c r="A86" s="2590"/>
      <c r="B86" s="448"/>
      <c r="D86" s="602" t="s">
        <v>930</v>
      </c>
      <c r="E86" s="660" t="s">
        <v>931</v>
      </c>
      <c r="F86" s="597" t="s">
        <v>867</v>
      </c>
      <c r="G86" s="661"/>
      <c r="H86" s="953"/>
      <c r="I86" s="661"/>
      <c r="J86" s="953"/>
      <c r="K86" s="227"/>
      <c r="X86" s="693">
        <v>0</v>
      </c>
    </row>
    <row r="87" spans="1:24" s="1562" customFormat="1" ht="45" hidden="1" customHeight="1">
      <c r="A87" s="2590"/>
      <c r="B87" s="448"/>
      <c r="D87" s="602" t="s">
        <v>92</v>
      </c>
      <c r="E87" s="603" t="s">
        <v>932</v>
      </c>
      <c r="F87" s="597" t="s">
        <v>867</v>
      </c>
      <c r="G87" s="661"/>
      <c r="H87" s="953"/>
      <c r="I87" s="661"/>
      <c r="J87" s="953"/>
      <c r="K87" s="227" t="s">
        <v>933</v>
      </c>
      <c r="X87" s="693">
        <v>0</v>
      </c>
    </row>
    <row r="88" spans="1:24" s="1562" customFormat="1" ht="11.25" hidden="1" customHeight="1">
      <c r="A88" s="2590"/>
      <c r="B88" s="448"/>
      <c r="D88" s="602" t="s">
        <v>762</v>
      </c>
      <c r="E88" s="660" t="s">
        <v>922</v>
      </c>
      <c r="F88" s="597" t="s">
        <v>867</v>
      </c>
      <c r="G88" s="661"/>
      <c r="H88" s="953"/>
      <c r="I88" s="661"/>
      <c r="J88" s="953"/>
      <c r="K88" s="227"/>
      <c r="X88" s="693">
        <v>0</v>
      </c>
    </row>
    <row r="89" spans="1:24" s="1562" customFormat="1" ht="11.25" hidden="1" customHeight="1">
      <c r="A89" s="2590"/>
      <c r="B89" s="448"/>
      <c r="D89" s="602" t="s">
        <v>804</v>
      </c>
      <c r="E89" s="660" t="s">
        <v>923</v>
      </c>
      <c r="F89" s="597" t="s">
        <v>867</v>
      </c>
      <c r="G89" s="661"/>
      <c r="H89" s="953"/>
      <c r="I89" s="661"/>
      <c r="J89" s="953"/>
      <c r="K89" s="227"/>
      <c r="X89" s="693">
        <v>0</v>
      </c>
    </row>
    <row r="90" spans="1:24" s="1562" customFormat="1" ht="11.25" hidden="1" customHeight="1">
      <c r="A90" s="2590"/>
      <c r="B90" s="448"/>
      <c r="D90" s="602" t="s">
        <v>807</v>
      </c>
      <c r="E90" s="660" t="s">
        <v>924</v>
      </c>
      <c r="F90" s="597" t="s">
        <v>867</v>
      </c>
      <c r="G90" s="661"/>
      <c r="H90" s="953"/>
      <c r="I90" s="661"/>
      <c r="J90" s="953"/>
      <c r="K90" s="227"/>
      <c r="X90" s="693">
        <v>0</v>
      </c>
    </row>
    <row r="91" spans="1:24" s="1562" customFormat="1" ht="11.25" hidden="1" customHeight="1">
      <c r="A91" s="2590"/>
      <c r="B91" s="448"/>
      <c r="D91" s="602" t="s">
        <v>885</v>
      </c>
      <c r="E91" s="660" t="s">
        <v>925</v>
      </c>
      <c r="F91" s="597" t="s">
        <v>867</v>
      </c>
      <c r="G91" s="661"/>
      <c r="H91" s="953"/>
      <c r="I91" s="661"/>
      <c r="J91" s="953"/>
      <c r="K91" s="227"/>
      <c r="X91" s="693">
        <v>0</v>
      </c>
    </row>
    <row r="92" spans="1:24" s="1562" customFormat="1" ht="11.25" hidden="1" customHeight="1">
      <c r="A92" s="2590"/>
      <c r="B92" s="448"/>
      <c r="D92" s="602" t="s">
        <v>887</v>
      </c>
      <c r="E92" s="660" t="s">
        <v>927</v>
      </c>
      <c r="F92" s="597" t="s">
        <v>867</v>
      </c>
      <c r="G92" s="661"/>
      <c r="H92" s="953"/>
      <c r="I92" s="661"/>
      <c r="J92" s="953"/>
      <c r="K92" s="227"/>
      <c r="X92" s="693">
        <v>0</v>
      </c>
    </row>
    <row r="93" spans="1:24" s="1562" customFormat="1" ht="11.25" hidden="1" customHeight="1">
      <c r="A93" s="2590"/>
      <c r="B93" s="448"/>
      <c r="D93" s="602" t="s">
        <v>934</v>
      </c>
      <c r="E93" s="660" t="s">
        <v>929</v>
      </c>
      <c r="F93" s="597" t="s">
        <v>867</v>
      </c>
      <c r="G93" s="661"/>
      <c r="H93" s="953"/>
      <c r="I93" s="661"/>
      <c r="J93" s="953"/>
      <c r="K93" s="227"/>
      <c r="X93" s="693">
        <v>0</v>
      </c>
    </row>
    <row r="94" spans="1:24" s="1562" customFormat="1" ht="11.25" hidden="1" customHeight="1">
      <c r="A94" s="2590"/>
      <c r="B94" s="448"/>
      <c r="D94" s="602" t="s">
        <v>935</v>
      </c>
      <c r="E94" s="660" t="s">
        <v>931</v>
      </c>
      <c r="F94" s="597" t="s">
        <v>867</v>
      </c>
      <c r="G94" s="661"/>
      <c r="H94" s="953"/>
      <c r="I94" s="661"/>
      <c r="J94" s="953"/>
      <c r="K94" s="227"/>
      <c r="X94" s="693">
        <v>0</v>
      </c>
    </row>
    <row r="95" spans="1:24" s="1562" customFormat="1" ht="24.75" hidden="1" customHeight="1">
      <c r="A95" s="2590"/>
      <c r="B95" s="448"/>
      <c r="D95" s="602" t="s">
        <v>112</v>
      </c>
      <c r="E95" s="603" t="s">
        <v>936</v>
      </c>
      <c r="F95" s="662" t="s">
        <v>567</v>
      </c>
      <c r="G95" s="664"/>
      <c r="H95" s="953"/>
      <c r="I95" s="664"/>
      <c r="J95" s="953"/>
      <c r="K95" s="227" t="s">
        <v>937</v>
      </c>
      <c r="X95" s="693">
        <v>0</v>
      </c>
    </row>
    <row r="96" spans="1:24" s="1562" customFormat="1" ht="33.75" hidden="1" customHeight="1">
      <c r="A96" s="2590"/>
      <c r="B96" s="448"/>
      <c r="D96" s="602" t="s">
        <v>93</v>
      </c>
      <c r="E96" s="603" t="s">
        <v>938</v>
      </c>
      <c r="F96" s="663" t="s">
        <v>828</v>
      </c>
      <c r="G96" s="665"/>
      <c r="H96" s="953"/>
      <c r="I96" s="665"/>
      <c r="J96" s="953"/>
      <c r="K96" s="227"/>
      <c r="X96" s="693">
        <v>0</v>
      </c>
    </row>
    <row r="97" spans="1:24" s="1562" customFormat="1" ht="22.5" hidden="1" customHeight="1">
      <c r="A97" s="2590"/>
      <c r="B97" s="448" t="s">
        <v>597</v>
      </c>
      <c r="D97" s="602" t="s">
        <v>94</v>
      </c>
      <c r="E97" s="603" t="s">
        <v>939</v>
      </c>
      <c r="F97" s="663" t="s">
        <v>313</v>
      </c>
      <c r="G97" s="322"/>
      <c r="H97" s="953"/>
      <c r="I97" s="322"/>
      <c r="J97" s="953"/>
      <c r="K97" s="227" t="s">
        <v>640</v>
      </c>
      <c r="X97" s="693">
        <v>0</v>
      </c>
    </row>
    <row r="98" spans="1:24" s="1562" customFormat="1" ht="45" hidden="1" customHeight="1">
      <c r="A98" s="2590"/>
      <c r="B98" s="448" t="s">
        <v>597</v>
      </c>
      <c r="D98" s="602" t="s">
        <v>940</v>
      </c>
      <c r="E98" s="604" t="s">
        <v>941</v>
      </c>
      <c r="F98" s="658" t="s">
        <v>313</v>
      </c>
      <c r="G98" s="322"/>
      <c r="H98" s="953"/>
      <c r="I98" s="322"/>
      <c r="J98" s="953"/>
      <c r="K98" s="227" t="s">
        <v>640</v>
      </c>
      <c r="X98" s="693">
        <v>0</v>
      </c>
    </row>
    <row r="99" spans="1:24" s="1562" customFormat="1" ht="95.25" hidden="1" customHeight="1">
      <c r="A99" s="2590"/>
      <c r="B99" s="448" t="s">
        <v>597</v>
      </c>
      <c r="D99" s="602" t="s">
        <v>113</v>
      </c>
      <c r="E99" s="603" t="s">
        <v>942</v>
      </c>
      <c r="F99" s="658" t="s">
        <v>313</v>
      </c>
      <c r="G99" s="322"/>
      <c r="H99" s="953"/>
      <c r="I99" s="322"/>
      <c r="J99" s="953"/>
      <c r="K99" s="227" t="s">
        <v>640</v>
      </c>
      <c r="X99" s="693">
        <v>0</v>
      </c>
    </row>
    <row r="100" spans="1:24" s="1562" customFormat="1" ht="22.5" hidden="1" customHeight="1">
      <c r="A100" s="2590"/>
      <c r="B100" s="448" t="s">
        <v>597</v>
      </c>
      <c r="D100" s="602" t="s">
        <v>149</v>
      </c>
      <c r="E100" s="603" t="s">
        <v>943</v>
      </c>
      <c r="F100" s="658" t="s">
        <v>313</v>
      </c>
      <c r="G100" s="322"/>
      <c r="H100" s="953"/>
      <c r="I100" s="322"/>
      <c r="J100" s="953"/>
      <c r="K100" s="227" t="s">
        <v>640</v>
      </c>
      <c r="X100" s="693">
        <v>0</v>
      </c>
    </row>
    <row r="101" spans="1:24" s="1562" customFormat="1" ht="11.45" customHeight="1">
      <c r="A101" s="963"/>
      <c r="B101" s="455"/>
      <c r="D101" s="964"/>
      <c r="E101" s="965"/>
      <c r="X101" s="446">
        <v>11</v>
      </c>
    </row>
    <row r="102" spans="1:24" ht="22.5" hidden="1" customHeight="1">
      <c r="A102" s="473" t="s">
        <v>83</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DB695-3476-DF05-D59C-BDE8B7431B4D}">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591"/>
      <c r="C3" s="2592" t="s">
        <v>452</v>
      </c>
      <c r="D3" s="626" t="str">
        <f>B3&amp;".1"</f>
        <v>.1</v>
      </c>
      <c r="E3" s="627" t="s">
        <v>944</v>
      </c>
      <c r="F3" s="628" t="s">
        <v>313</v>
      </c>
      <c r="G3" s="623"/>
      <c r="H3" s="338"/>
      <c r="I3" s="623"/>
      <c r="J3" s="338"/>
      <c r="K3" s="227" t="s">
        <v>945</v>
      </c>
      <c r="V3" s="442">
        <v>0</v>
      </c>
    </row>
    <row r="4" spans="1:22" ht="15" hidden="1" customHeight="1">
      <c r="A4" s="442"/>
      <c r="B4" s="2591"/>
      <c r="C4" s="2592"/>
      <c r="D4" s="626" t="str">
        <f>B3&amp;".2"</f>
        <v>.2</v>
      </c>
      <c r="E4" s="627" t="s">
        <v>946</v>
      </c>
      <c r="F4" s="628" t="s">
        <v>313</v>
      </c>
      <c r="G4" s="1664" t="s">
        <v>28</v>
      </c>
      <c r="H4" s="338"/>
      <c r="I4" s="1664" t="s">
        <v>28</v>
      </c>
      <c r="J4" s="338"/>
      <c r="K4" s="227" t="s">
        <v>947</v>
      </c>
      <c r="V4" s="442">
        <v>0</v>
      </c>
    </row>
    <row r="5" spans="1:22" s="1293" customFormat="1" ht="15" hidden="1" customHeight="1">
      <c r="C5" s="609"/>
      <c r="U5" s="357"/>
      <c r="V5" s="354">
        <v>0</v>
      </c>
    </row>
    <row r="6" spans="1:22" ht="22.5" hidden="1" customHeight="1">
      <c r="A6" s="442"/>
      <c r="B6" s="2591"/>
      <c r="C6" s="2592" t="s">
        <v>452</v>
      </c>
      <c r="D6" s="626" t="str">
        <f>B6&amp;".1"</f>
        <v>.1</v>
      </c>
      <c r="E6" s="627" t="s">
        <v>948</v>
      </c>
      <c r="F6" s="628" t="s">
        <v>313</v>
      </c>
      <c r="G6" s="623"/>
      <c r="H6" s="338"/>
      <c r="I6" s="623"/>
      <c r="J6" s="338"/>
      <c r="K6" s="227" t="s">
        <v>949</v>
      </c>
      <c r="V6" s="442">
        <v>0</v>
      </c>
    </row>
    <row r="7" spans="1:22" ht="15" hidden="1" customHeight="1">
      <c r="A7" s="442"/>
      <c r="B7" s="2591"/>
      <c r="C7" s="2592"/>
      <c r="D7" s="626" t="str">
        <f>B6&amp;".2"</f>
        <v>.2</v>
      </c>
      <c r="E7" s="627" t="s">
        <v>946</v>
      </c>
      <c r="F7" s="628" t="s">
        <v>313</v>
      </c>
      <c r="G7" s="1664" t="s">
        <v>28</v>
      </c>
      <c r="H7" s="338"/>
      <c r="I7" s="1664" t="s">
        <v>28</v>
      </c>
      <c r="J7" s="338"/>
      <c r="K7" s="227" t="s">
        <v>947</v>
      </c>
      <c r="V7" s="442">
        <v>0</v>
      </c>
    </row>
    <row r="8" spans="1:22" s="1293" customFormat="1" ht="15" hidden="1" customHeight="1">
      <c r="C8" s="609"/>
      <c r="U8" s="357"/>
      <c r="V8" s="354">
        <v>0</v>
      </c>
    </row>
    <row r="9" spans="1:22" ht="22.5" hidden="1" customHeight="1">
      <c r="A9" s="442"/>
      <c r="B9" s="2591"/>
      <c r="C9" s="2592" t="s">
        <v>452</v>
      </c>
      <c r="D9" s="626" t="str">
        <f>B9&amp;".1"</f>
        <v>.1</v>
      </c>
      <c r="E9" s="627" t="s">
        <v>950</v>
      </c>
      <c r="F9" s="628" t="s">
        <v>313</v>
      </c>
      <c r="G9" s="634" t="s">
        <v>28</v>
      </c>
      <c r="H9" s="338" t="s">
        <v>28</v>
      </c>
      <c r="I9" s="634" t="s">
        <v>28</v>
      </c>
      <c r="J9" s="338" t="s">
        <v>28</v>
      </c>
      <c r="K9" s="227"/>
      <c r="V9" s="442">
        <v>0</v>
      </c>
    </row>
    <row r="10" spans="1:22" ht="15" hidden="1" customHeight="1">
      <c r="A10" s="442"/>
      <c r="B10" s="2591"/>
      <c r="C10" s="2592"/>
      <c r="D10" s="626" t="str">
        <f>B9&amp;".2"</f>
        <v>.2</v>
      </c>
      <c r="E10" s="627" t="s">
        <v>951</v>
      </c>
      <c r="F10" s="628" t="s">
        <v>313</v>
      </c>
      <c r="G10" s="1658" t="s">
        <v>28</v>
      </c>
      <c r="H10" s="338" t="s">
        <v>28</v>
      </c>
      <c r="I10" s="1658" t="s">
        <v>28</v>
      </c>
      <c r="J10" s="338" t="s">
        <v>28</v>
      </c>
      <c r="K10" s="227" t="s">
        <v>952</v>
      </c>
      <c r="V10" s="442">
        <v>0</v>
      </c>
    </row>
    <row r="11" spans="1:22" ht="15" hidden="1" customHeight="1">
      <c r="A11" s="442"/>
      <c r="B11" s="2591"/>
      <c r="C11" s="2592"/>
      <c r="D11" s="626" t="str">
        <f>B9&amp;".3"</f>
        <v>.3</v>
      </c>
      <c r="E11" s="627" t="s">
        <v>953</v>
      </c>
      <c r="F11" s="628" t="s">
        <v>313</v>
      </c>
      <c r="G11" s="1658" t="s">
        <v>28</v>
      </c>
      <c r="H11" s="338" t="s">
        <v>28</v>
      </c>
      <c r="I11" s="1658" t="s">
        <v>28</v>
      </c>
      <c r="J11" s="338" t="s">
        <v>28</v>
      </c>
      <c r="K11" s="227" t="s">
        <v>954</v>
      </c>
      <c r="V11" s="442">
        <v>0</v>
      </c>
    </row>
    <row r="12" spans="1:22" s="1293" customFormat="1" ht="15" hidden="1" customHeight="1">
      <c r="C12" s="609"/>
      <c r="U12" s="357"/>
      <c r="V12" s="354">
        <v>0</v>
      </c>
    </row>
    <row r="13" spans="1:22" ht="33.75" hidden="1" customHeight="1">
      <c r="A13" s="442"/>
      <c r="B13" s="2591"/>
      <c r="C13" s="2592" t="s">
        <v>452</v>
      </c>
      <c r="D13" s="626" t="str">
        <f>B13&amp;".1"</f>
        <v>.1</v>
      </c>
      <c r="E13" s="627" t="s">
        <v>955</v>
      </c>
      <c r="F13" s="628" t="s">
        <v>313</v>
      </c>
      <c r="G13" s="634" t="s">
        <v>28</v>
      </c>
      <c r="H13" s="338" t="s">
        <v>28</v>
      </c>
      <c r="I13" s="634" t="s">
        <v>28</v>
      </c>
      <c r="J13" s="338" t="s">
        <v>28</v>
      </c>
      <c r="K13" s="227" t="s">
        <v>956</v>
      </c>
      <c r="V13" s="442">
        <v>0</v>
      </c>
    </row>
    <row r="14" spans="1:22" ht="15" hidden="1" customHeight="1">
      <c r="B14" s="2591"/>
      <c r="C14" s="2592"/>
      <c r="D14" s="626" t="str">
        <f>B13&amp;".2"</f>
        <v>.2</v>
      </c>
      <c r="E14" s="627" t="s">
        <v>957</v>
      </c>
      <c r="F14" s="628" t="s">
        <v>313</v>
      </c>
      <c r="G14" s="1658" t="s">
        <v>28</v>
      </c>
      <c r="H14" s="338" t="s">
        <v>28</v>
      </c>
      <c r="I14" s="1658" t="s">
        <v>28</v>
      </c>
      <c r="J14" s="338" t="s">
        <v>28</v>
      </c>
      <c r="K14" s="227" t="s">
        <v>958</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44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49"/>
      <c r="F22" s="2449"/>
      <c r="G22" s="2449"/>
      <c r="H22" s="2449"/>
      <c r="I22" s="2449"/>
      <c r="J22" s="613"/>
      <c r="K22" s="474"/>
      <c r="V22" s="442">
        <v>22</v>
      </c>
    </row>
    <row r="23" spans="1:22" ht="15.75" customHeight="1">
      <c r="C23" s="114"/>
      <c r="D23" s="2421" t="str">
        <f>IF(org=0,"Не определено",org)</f>
        <v>МУП "Городские тепловые сети" МО  "город Курчатов"</v>
      </c>
      <c r="E23" s="2421"/>
      <c r="F23" s="2421"/>
      <c r="G23" s="2421"/>
      <c r="H23" s="2421"/>
      <c r="I23" s="2421"/>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118</v>
      </c>
      <c r="J25" s="689"/>
      <c r="K25" s="354"/>
      <c r="U25" s="612"/>
      <c r="V25" s="693">
        <v>1</v>
      </c>
    </row>
    <row r="26" spans="1:22" ht="15.75" customHeight="1">
      <c r="C26" s="114"/>
      <c r="D26" s="648"/>
      <c r="E26" s="2568" t="s">
        <v>106</v>
      </c>
      <c r="F26" s="2569"/>
      <c r="G26" s="2593" t="str">
        <f>IF(G25="","",INDEX(DIFFERENTIATION_UNMERGE_VD,MATCH(G25,DIFFERENTIATION_ID_DIFF,0)))</f>
        <v/>
      </c>
      <c r="H26" s="2594"/>
      <c r="I26" s="2593">
        <f>IF(I25="","",INDEX(DIFFERENTIATION_UNMERGE_VD,MATCH(I25,DIFFERENTIATION_ID_DIFF,0)))</f>
        <v>0</v>
      </c>
      <c r="J26" s="2594"/>
      <c r="K26" s="2401" t="s">
        <v>308</v>
      </c>
      <c r="V26" s="442">
        <v>15</v>
      </c>
    </row>
    <row r="27" spans="1:22" s="1562" customFormat="1" ht="15.75" customHeight="1">
      <c r="A27" s="694"/>
      <c r="C27" s="114"/>
      <c r="D27" s="648"/>
      <c r="E27" s="2568" t="s">
        <v>573</v>
      </c>
      <c r="F27" s="2569"/>
      <c r="G27" s="2593" t="str">
        <f>IF(G25="","",INDEX(DIFFERENTIATION_UNMERGE_AREA,MATCH(G25,DIFFERENTIATION_ID_DIFF,0)))</f>
        <v/>
      </c>
      <c r="H27" s="2594"/>
      <c r="I27" s="2593" t="str">
        <f>IF(I25="","",INDEX(DIFFERENTIATION_UNMERGE_AREA,MATCH(I25,DIFFERENTIATION_ID_DIFF,0)))</f>
        <v/>
      </c>
      <c r="J27" s="2594"/>
      <c r="K27" s="2405"/>
      <c r="U27" s="612"/>
      <c r="V27" s="693">
        <v>15</v>
      </c>
    </row>
    <row r="28" spans="1:22" s="1562" customFormat="1" ht="15.75" customHeight="1">
      <c r="A28" s="694"/>
      <c r="C28" s="114"/>
      <c r="D28" s="648"/>
      <c r="E28" s="2568" t="s">
        <v>574</v>
      </c>
      <c r="F28" s="2569"/>
      <c r="G28" s="2593" t="str">
        <f>IF(G25="","",INDEX(DIFFERENTIATION_UNMERGE_SYSTEM,MATCH(G25,DIFFERENTIATION_ID_DIFF,0)))</f>
        <v/>
      </c>
      <c r="H28" s="2594"/>
      <c r="I28" s="2593" t="str">
        <f>IF(I25="","",INDEX(DIFFERENTIATION_UNMERGE_SYSTEM,MATCH(I25,DIFFERENTIATION_ID_DIFF,0)))</f>
        <v>без дифференциации</v>
      </c>
      <c r="J28" s="2594"/>
      <c r="K28" s="2405"/>
      <c r="U28" s="612"/>
      <c r="V28" s="693">
        <v>15</v>
      </c>
    </row>
    <row r="29" spans="1:22" s="1562" customFormat="1" ht="15.75" customHeight="1">
      <c r="A29" s="694"/>
      <c r="C29" s="114"/>
      <c r="D29" s="2570" t="s">
        <v>307</v>
      </c>
      <c r="E29" s="2571"/>
      <c r="F29" s="2571"/>
      <c r="G29" s="817"/>
      <c r="H29" s="817"/>
      <c r="I29" s="817"/>
      <c r="J29" s="818"/>
      <c r="K29" s="2405"/>
      <c r="U29" s="612"/>
      <c r="V29" s="693">
        <v>15</v>
      </c>
    </row>
    <row r="30" spans="1:22" ht="35.65" customHeight="1">
      <c r="C30" s="114"/>
      <c r="D30" s="696" t="s">
        <v>89</v>
      </c>
      <c r="E30" s="695" t="s">
        <v>309</v>
      </c>
      <c r="F30" s="695" t="s">
        <v>575</v>
      </c>
      <c r="G30" s="739" t="s">
        <v>310</v>
      </c>
      <c r="H30" s="738" t="s">
        <v>397</v>
      </c>
      <c r="I30" s="621" t="s">
        <v>310</v>
      </c>
      <c r="J30" s="402" t="s">
        <v>397</v>
      </c>
      <c r="K30" s="2408"/>
      <c r="V30" s="442">
        <v>34</v>
      </c>
    </row>
    <row r="31" spans="1:22" ht="15" hidden="1" customHeight="1">
      <c r="C31" s="114"/>
      <c r="D31" s="530"/>
      <c r="E31" s="530"/>
      <c r="F31" s="530"/>
      <c r="G31" s="596"/>
      <c r="H31" s="596"/>
      <c r="I31" s="596"/>
      <c r="J31" s="596"/>
      <c r="K31" s="227"/>
      <c r="V31" s="442">
        <v>0</v>
      </c>
    </row>
    <row r="32" spans="1:22" ht="24" customHeight="1">
      <c r="A32" s="442"/>
      <c r="B32" s="442" t="s">
        <v>959</v>
      </c>
      <c r="C32" s="463"/>
      <c r="D32" s="629">
        <v>1</v>
      </c>
      <c r="E32" s="630" t="s">
        <v>960</v>
      </c>
      <c r="F32" s="628" t="s">
        <v>313</v>
      </c>
      <c r="G32" s="744" t="s">
        <v>313</v>
      </c>
      <c r="H32" s="744" t="s">
        <v>313</v>
      </c>
      <c r="I32" s="628" t="s">
        <v>313</v>
      </c>
      <c r="J32" s="628" t="s">
        <v>313</v>
      </c>
      <c r="K32" s="227"/>
      <c r="V32" s="442">
        <v>23</v>
      </c>
    </row>
    <row r="33" spans="1:22" ht="11.45" customHeight="1">
      <c r="A33" s="442"/>
      <c r="C33" s="442"/>
      <c r="D33" s="285"/>
      <c r="E33" s="517" t="s">
        <v>595</v>
      </c>
      <c r="F33" s="509"/>
      <c r="G33" s="509"/>
      <c r="H33" s="509"/>
      <c r="I33" s="509"/>
      <c r="J33" s="509"/>
      <c r="K33" s="510"/>
      <c r="U33" s="442"/>
      <c r="V33" s="442">
        <v>11</v>
      </c>
    </row>
    <row r="34" spans="1:22" ht="24" customHeight="1">
      <c r="A34" s="442"/>
      <c r="B34" s="518" t="s">
        <v>645</v>
      </c>
      <c r="C34" s="463"/>
      <c r="D34" s="629">
        <v>2</v>
      </c>
      <c r="E34" s="630" t="s">
        <v>961</v>
      </c>
      <c r="F34" s="751" t="s">
        <v>313</v>
      </c>
      <c r="G34" s="751" t="s">
        <v>313</v>
      </c>
      <c r="H34" s="751" t="s">
        <v>313</v>
      </c>
      <c r="I34" s="628"/>
      <c r="J34" s="628"/>
      <c r="K34" s="227"/>
      <c r="V34" s="442">
        <v>23</v>
      </c>
    </row>
    <row r="35" spans="1:22" ht="11.45" customHeight="1">
      <c r="A35" s="442"/>
      <c r="C35" s="442"/>
      <c r="D35" s="285"/>
      <c r="E35" s="517" t="s">
        <v>962</v>
      </c>
      <c r="F35" s="509"/>
      <c r="G35" s="631"/>
      <c r="H35" s="509"/>
      <c r="I35" s="631"/>
      <c r="J35" s="509"/>
      <c r="K35" s="510"/>
      <c r="U35" s="442"/>
      <c r="V35" s="442">
        <v>11</v>
      </c>
    </row>
    <row r="36" spans="1:22" ht="71.25" customHeight="1">
      <c r="A36" s="442"/>
      <c r="B36" s="442" t="s">
        <v>963</v>
      </c>
      <c r="C36" s="463"/>
      <c r="D36" s="629">
        <v>3</v>
      </c>
      <c r="E36" s="630" t="s">
        <v>964</v>
      </c>
      <c r="F36" s="632" t="s">
        <v>313</v>
      </c>
      <c r="G36" s="745" t="s">
        <v>965</v>
      </c>
      <c r="H36" s="744" t="s">
        <v>313</v>
      </c>
      <c r="I36" s="461" t="s">
        <v>965</v>
      </c>
      <c r="J36" s="628" t="s">
        <v>313</v>
      </c>
      <c r="K36" s="227" t="s">
        <v>966</v>
      </c>
      <c r="V36" s="442">
        <v>68</v>
      </c>
    </row>
    <row r="37" spans="1:22" ht="11.45" customHeight="1">
      <c r="A37" s="442"/>
      <c r="C37" s="442"/>
      <c r="D37" s="285"/>
      <c r="E37" s="517" t="s">
        <v>967</v>
      </c>
      <c r="F37" s="509"/>
      <c r="G37" s="631"/>
      <c r="H37" s="631"/>
      <c r="I37" s="631"/>
      <c r="J37" s="631"/>
      <c r="K37" s="510"/>
      <c r="U37" s="442"/>
      <c r="V37" s="442">
        <v>11</v>
      </c>
    </row>
    <row r="38" spans="1:22" ht="71.25" customHeight="1">
      <c r="A38" s="442"/>
      <c r="B38" s="442" t="s">
        <v>968</v>
      </c>
      <c r="C38" s="463"/>
      <c r="D38" s="629">
        <v>4</v>
      </c>
      <c r="E38" s="630" t="s">
        <v>969</v>
      </c>
      <c r="F38" s="632" t="s">
        <v>313</v>
      </c>
      <c r="G38" s="745" t="s">
        <v>965</v>
      </c>
      <c r="H38" s="746" t="s">
        <v>313</v>
      </c>
      <c r="I38" s="461" t="s">
        <v>965</v>
      </c>
      <c r="J38" s="458" t="s">
        <v>313</v>
      </c>
      <c r="K38" s="616" t="s">
        <v>970</v>
      </c>
      <c r="V38" s="442">
        <v>68</v>
      </c>
    </row>
    <row r="39" spans="1:22" ht="11.45" customHeight="1">
      <c r="A39" s="442"/>
      <c r="C39" s="442"/>
      <c r="D39" s="285"/>
      <c r="E39" s="517" t="s">
        <v>971</v>
      </c>
      <c r="F39" s="509"/>
      <c r="G39" s="509"/>
      <c r="H39" s="633"/>
      <c r="I39" s="509"/>
      <c r="J39" s="633"/>
      <c r="K39" s="510"/>
      <c r="U39" s="442"/>
      <c r="V39" s="442">
        <v>11</v>
      </c>
    </row>
    <row r="40" spans="1:22" ht="22.5" hidden="1" customHeight="1">
      <c r="A40" s="386" t="s">
        <v>83</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71ECA-FF5B-8D5C-003F-B4392C9F34DB}">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972</v>
      </c>
      <c r="H3" s="1083"/>
      <c r="AE3" s="694">
        <v>0</v>
      </c>
    </row>
    <row r="4" spans="1:31" ht="3" customHeight="1">
      <c r="AE4" s="693">
        <v>3</v>
      </c>
    </row>
    <row r="5" spans="1:31" ht="27.4" customHeight="1">
      <c r="F5" s="24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49"/>
      <c r="H5" s="2449"/>
      <c r="I5" s="2449"/>
      <c r="J5" s="2449"/>
      <c r="K5" s="2449"/>
      <c r="M5" s="519"/>
      <c r="AB5" s="836"/>
      <c r="AE5" s="693">
        <v>26</v>
      </c>
    </row>
    <row r="6" spans="1:31" s="1562" customFormat="1" ht="16.899999999999999" customHeight="1">
      <c r="A6" s="1093"/>
      <c r="B6" s="1093"/>
      <c r="C6" s="1093"/>
      <c r="D6" s="1087"/>
      <c r="F6" s="2421" t="str">
        <f>IF(org=0,"Не определено",org)</f>
        <v>МУП "Городские тепловые сети" МО  "город Курчатов"</v>
      </c>
      <c r="G6" s="2421"/>
      <c r="H6" s="2421"/>
      <c r="I6" s="2421"/>
      <c r="J6" s="2421"/>
      <c r="K6" s="2421"/>
      <c r="M6" s="519"/>
      <c r="AB6" s="1075"/>
      <c r="AE6" s="1558">
        <v>16</v>
      </c>
    </row>
    <row r="7" spans="1:31" ht="10.5" customHeight="1">
      <c r="AE7" s="693">
        <v>10</v>
      </c>
    </row>
    <row r="8" spans="1:31" ht="10.5" customHeight="1">
      <c r="A8" s="981"/>
      <c r="B8" s="981"/>
      <c r="C8" s="981"/>
      <c r="F8" s="2314" t="s">
        <v>307</v>
      </c>
      <c r="G8" s="2319"/>
      <c r="H8" s="2319"/>
      <c r="I8" s="2319"/>
      <c r="J8" s="2319"/>
      <c r="K8" s="2319"/>
      <c r="L8" s="2319"/>
      <c r="M8" s="2319"/>
      <c r="N8" s="2319"/>
      <c r="O8" s="2319"/>
      <c r="P8" s="2319"/>
      <c r="Q8" s="2319"/>
      <c r="R8" s="2319"/>
      <c r="S8" s="2319"/>
      <c r="T8" s="2319"/>
      <c r="U8" s="2319"/>
      <c r="V8" s="2319"/>
      <c r="W8" s="2319"/>
      <c r="X8" s="2319"/>
      <c r="Y8" s="2319"/>
      <c r="Z8" s="2319"/>
      <c r="AA8" s="2319"/>
      <c r="AB8" s="2313"/>
      <c r="AE8" s="693">
        <v>10</v>
      </c>
    </row>
    <row r="9" spans="1:31" ht="43.15" customHeight="1">
      <c r="A9" s="835"/>
      <c r="B9" s="835"/>
      <c r="C9" s="835"/>
      <c r="F9" s="2332" t="s">
        <v>89</v>
      </c>
      <c r="G9" s="2332" t="s">
        <v>972</v>
      </c>
      <c r="H9" s="2401" t="s">
        <v>973</v>
      </c>
      <c r="I9" s="2332" t="s">
        <v>974</v>
      </c>
      <c r="J9" s="2332" t="s">
        <v>975</v>
      </c>
      <c r="K9" s="2332" t="s">
        <v>976</v>
      </c>
      <c r="L9" s="2332" t="s">
        <v>977</v>
      </c>
      <c r="M9" s="2332" t="s">
        <v>978</v>
      </c>
      <c r="N9" s="2429" t="s">
        <v>979</v>
      </c>
      <c r="O9" s="2429"/>
      <c r="P9" s="2429"/>
      <c r="Q9" s="2482" t="s">
        <v>980</v>
      </c>
      <c r="R9" s="2483"/>
      <c r="S9" s="2483"/>
      <c r="T9" s="2484"/>
      <c r="U9" s="2482" t="s">
        <v>981</v>
      </c>
      <c r="V9" s="2483"/>
      <c r="W9" s="2483"/>
      <c r="X9" s="2484"/>
      <c r="Y9" s="2314" t="s">
        <v>982</v>
      </c>
      <c r="Z9" s="2319"/>
      <c r="AA9" s="2319"/>
      <c r="AB9" s="2313"/>
      <c r="AE9" s="693">
        <v>41</v>
      </c>
    </row>
    <row r="10" spans="1:31" ht="43.15" customHeight="1">
      <c r="A10" s="835"/>
      <c r="B10" s="835"/>
      <c r="C10" s="835"/>
      <c r="F10" s="2401"/>
      <c r="G10" s="2401"/>
      <c r="H10" s="2454"/>
      <c r="I10" s="2401"/>
      <c r="J10" s="2401"/>
      <c r="K10" s="2401"/>
      <c r="L10" s="2401"/>
      <c r="M10" s="2401"/>
      <c r="N10" s="833" t="s">
        <v>983</v>
      </c>
      <c r="O10" s="833" t="s">
        <v>984</v>
      </c>
      <c r="P10" s="834" t="s">
        <v>985</v>
      </c>
      <c r="Q10" s="845" t="s">
        <v>90</v>
      </c>
      <c r="R10" s="845" t="s">
        <v>986</v>
      </c>
      <c r="S10" s="845" t="s">
        <v>987</v>
      </c>
      <c r="T10" s="846" t="s">
        <v>988</v>
      </c>
      <c r="U10" s="845" t="s">
        <v>90</v>
      </c>
      <c r="V10" s="845" t="s">
        <v>989</v>
      </c>
      <c r="W10" s="845" t="s">
        <v>987</v>
      </c>
      <c r="X10" s="846" t="s">
        <v>988</v>
      </c>
      <c r="Y10" s="239" t="s">
        <v>990</v>
      </c>
      <c r="Z10" s="2314" t="s">
        <v>89</v>
      </c>
      <c r="AA10" s="2313"/>
      <c r="AB10" s="979" t="s">
        <v>991</v>
      </c>
      <c r="AE10" s="693">
        <v>41</v>
      </c>
    </row>
    <row r="11" spans="1:31" s="1569" customFormat="1" ht="5.25" hidden="1" customHeight="1">
      <c r="A11" s="982"/>
      <c r="B11" s="982"/>
      <c r="C11" s="982"/>
      <c r="E11" s="980"/>
      <c r="F11" s="2597" t="s">
        <v>383</v>
      </c>
      <c r="G11" s="2599"/>
      <c r="H11" s="2595"/>
      <c r="I11" s="2595"/>
      <c r="J11" s="2595"/>
      <c r="K11" s="2598"/>
      <c r="L11" s="2598"/>
      <c r="M11" s="2598"/>
      <c r="N11" s="2595"/>
      <c r="O11" s="2595"/>
      <c r="P11" s="2332"/>
      <c r="Q11" s="2411"/>
      <c r="R11" s="2411"/>
      <c r="S11" s="2411"/>
      <c r="T11" s="2595"/>
      <c r="U11" s="2411"/>
      <c r="V11" s="2411"/>
      <c r="W11" s="2411"/>
      <c r="X11" s="2595"/>
      <c r="Y11" s="2343"/>
      <c r="Z11" s="2343"/>
      <c r="AA11" s="2343"/>
      <c r="AB11" s="2343"/>
      <c r="AD11" s="448" t="s">
        <v>992</v>
      </c>
      <c r="AE11" s="448">
        <v>0</v>
      </c>
    </row>
    <row r="12" spans="1:31" s="1569" customFormat="1" ht="5.25" hidden="1" customHeight="1">
      <c r="A12" s="826"/>
      <c r="B12" s="826"/>
      <c r="C12" s="826"/>
      <c r="E12" s="455"/>
      <c r="F12" s="2597"/>
      <c r="G12" s="2599"/>
      <c r="H12" s="2595"/>
      <c r="I12" s="2595"/>
      <c r="J12" s="2595"/>
      <c r="K12" s="2598"/>
      <c r="L12" s="2598"/>
      <c r="M12" s="2598"/>
      <c r="N12" s="2595"/>
      <c r="O12" s="2595"/>
      <c r="P12" s="2332"/>
      <c r="Q12" s="2411"/>
      <c r="R12" s="2411"/>
      <c r="S12" s="2411"/>
      <c r="T12" s="2595"/>
      <c r="U12" s="2411"/>
      <c r="V12" s="2411"/>
      <c r="W12" s="2411"/>
      <c r="X12" s="2595"/>
      <c r="Y12" s="2596"/>
      <c r="Z12" s="2596"/>
      <c r="AA12" s="2596"/>
      <c r="AB12" s="2596"/>
      <c r="AE12" s="448">
        <v>0</v>
      </c>
    </row>
    <row r="13" spans="1:31" ht="10.5" customHeight="1">
      <c r="F13" s="832"/>
      <c r="G13" s="587" t="s">
        <v>993</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83</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1D6E6-2221-8565-D3F1-B880E954E979}">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4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49"/>
      <c r="H5" s="2449"/>
      <c r="I5" s="2449"/>
      <c r="J5" s="2449"/>
      <c r="K5" s="2449"/>
      <c r="L5" s="1062"/>
      <c r="M5" s="1062"/>
      <c r="AG5" s="836"/>
      <c r="AH5" s="1075"/>
      <c r="BG5" s="693">
        <v>26</v>
      </c>
    </row>
    <row r="6" spans="1:59" ht="10.5" customHeight="1">
      <c r="F6" s="2421" t="str">
        <f>IF(org=0,"Не определено",org)</f>
        <v>МУП "Городские тепловые сети" МО  "город Курчатов"</v>
      </c>
      <c r="G6" s="2421"/>
      <c r="H6" s="2421"/>
      <c r="I6" s="2421"/>
      <c r="J6" s="2421"/>
      <c r="K6" s="2421"/>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602" t="s">
        <v>307</v>
      </c>
      <c r="G8" s="2603"/>
      <c r="H8" s="2603"/>
      <c r="I8" s="2603"/>
      <c r="J8" s="2603"/>
      <c r="K8" s="2603"/>
      <c r="L8" s="2603"/>
      <c r="M8" s="2603"/>
      <c r="N8" s="2603"/>
      <c r="O8" s="2603"/>
      <c r="P8" s="2603"/>
      <c r="Q8" s="2603"/>
      <c r="R8" s="2603"/>
      <c r="S8" s="2603"/>
      <c r="T8" s="2603"/>
      <c r="U8" s="2603"/>
      <c r="V8" s="2603"/>
      <c r="W8" s="2603"/>
      <c r="X8" s="2603"/>
      <c r="Y8" s="2603"/>
      <c r="Z8" s="2603"/>
      <c r="AA8" s="2603"/>
      <c r="AB8" s="2603"/>
      <c r="AC8" s="2603"/>
      <c r="AD8" s="2603"/>
      <c r="AE8" s="2603"/>
      <c r="AF8" s="2603"/>
      <c r="AG8" s="2603"/>
      <c r="AH8" s="2603"/>
      <c r="AI8" s="2603"/>
      <c r="AJ8" s="2603"/>
      <c r="AK8" s="2604"/>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429" t="s">
        <v>994</v>
      </c>
      <c r="G9" s="2543" t="s">
        <v>995</v>
      </c>
      <c r="H9" s="2584"/>
      <c r="I9" s="2332" t="s">
        <v>996</v>
      </c>
      <c r="J9" s="2332"/>
      <c r="K9" s="2332" t="s">
        <v>997</v>
      </c>
      <c r="L9" s="2332"/>
      <c r="M9" s="2332"/>
      <c r="N9" s="2332"/>
      <c r="O9" s="2332"/>
      <c r="P9" s="2332"/>
      <c r="Q9" s="2332"/>
      <c r="R9" s="2332"/>
      <c r="S9" s="2332"/>
      <c r="T9" s="2332"/>
      <c r="U9" s="2332"/>
      <c r="V9" s="2332"/>
      <c r="W9" s="2332"/>
      <c r="X9" s="2332"/>
      <c r="Y9" s="2332"/>
      <c r="Z9" s="2402" t="s">
        <v>998</v>
      </c>
      <c r="AA9" s="2403"/>
      <c r="AB9" s="2332" t="s">
        <v>999</v>
      </c>
      <c r="AC9" s="2332"/>
      <c r="AD9" s="2332"/>
      <c r="AE9" s="2332"/>
      <c r="AF9" s="2401" t="s">
        <v>1000</v>
      </c>
      <c r="AG9" s="2332" t="s">
        <v>1001</v>
      </c>
      <c r="AH9" s="2332"/>
      <c r="AI9" s="2401" t="s">
        <v>1002</v>
      </c>
      <c r="AJ9" s="2332" t="s">
        <v>1003</v>
      </c>
      <c r="AK9" s="2332"/>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429"/>
      <c r="G10" s="2544"/>
      <c r="H10" s="2433"/>
      <c r="I10" s="2332"/>
      <c r="J10" s="2332"/>
      <c r="K10" s="2332" t="s">
        <v>1004</v>
      </c>
      <c r="L10" s="2314" t="s">
        <v>1005</v>
      </c>
      <c r="M10" s="2313"/>
      <c r="N10" s="2332" t="s">
        <v>1006</v>
      </c>
      <c r="O10" s="2332"/>
      <c r="P10" s="2332"/>
      <c r="Q10" s="2332"/>
      <c r="R10" s="2332"/>
      <c r="S10" s="2332"/>
      <c r="T10" s="2332"/>
      <c r="U10" s="2332"/>
      <c r="V10" s="2332"/>
      <c r="W10" s="2332"/>
      <c r="X10" s="2332"/>
      <c r="Y10" s="2332"/>
      <c r="Z10" s="2404"/>
      <c r="AA10" s="2405"/>
      <c r="AB10" s="2332"/>
      <c r="AC10" s="2332"/>
      <c r="AD10" s="2332"/>
      <c r="AE10" s="2332"/>
      <c r="AF10" s="2406"/>
      <c r="AG10" s="2332"/>
      <c r="AH10" s="2332"/>
      <c r="AI10" s="2406"/>
      <c r="AJ10" s="2332"/>
      <c r="AK10" s="2332"/>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429"/>
      <c r="G11" s="2544"/>
      <c r="H11" s="2433"/>
      <c r="I11" s="2332"/>
      <c r="J11" s="2332"/>
      <c r="K11" s="2332"/>
      <c r="L11" s="2401" t="s">
        <v>1007</v>
      </c>
      <c r="M11" s="2401" t="s">
        <v>1008</v>
      </c>
      <c r="N11" s="2332" t="s">
        <v>1009</v>
      </c>
      <c r="O11" s="2332"/>
      <c r="P11" s="2391" t="s">
        <v>990</v>
      </c>
      <c r="Q11" s="2391" t="s">
        <v>1010</v>
      </c>
      <c r="R11" s="2391" t="s">
        <v>1011</v>
      </c>
      <c r="S11" s="2391" t="s">
        <v>1012</v>
      </c>
      <c r="T11" s="2391"/>
      <c r="U11" s="2391"/>
      <c r="V11" s="2391"/>
      <c r="W11" s="2391"/>
      <c r="X11" s="2391"/>
      <c r="Y11" s="2391"/>
      <c r="Z11" s="2404"/>
      <c r="AA11" s="2405"/>
      <c r="AB11" s="2332" t="s">
        <v>1013</v>
      </c>
      <c r="AC11" s="2332"/>
      <c r="AD11" s="2314" t="s">
        <v>1014</v>
      </c>
      <c r="AE11" s="2313"/>
      <c r="AF11" s="2406"/>
      <c r="AG11" s="2332"/>
      <c r="AH11" s="2332"/>
      <c r="AI11" s="2406"/>
      <c r="AJ11" s="2332"/>
      <c r="AK11" s="2332"/>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429"/>
      <c r="G12" s="2545"/>
      <c r="H12" s="2601"/>
      <c r="I12" s="1080" t="s">
        <v>90</v>
      </c>
      <c r="J12" s="1080" t="s">
        <v>1015</v>
      </c>
      <c r="K12" s="2332"/>
      <c r="L12" s="2454"/>
      <c r="M12" s="2454"/>
      <c r="N12" s="2332"/>
      <c r="O12" s="2332"/>
      <c r="P12" s="2391"/>
      <c r="Q12" s="2391"/>
      <c r="R12" s="2391"/>
      <c r="S12" s="1061" t="s">
        <v>87</v>
      </c>
      <c r="T12" s="1061" t="s">
        <v>88</v>
      </c>
      <c r="U12" s="1061" t="s">
        <v>86</v>
      </c>
      <c r="V12" s="1061" t="s">
        <v>1016</v>
      </c>
      <c r="W12" s="1061" t="s">
        <v>86</v>
      </c>
      <c r="X12" s="1061" t="s">
        <v>1017</v>
      </c>
      <c r="Y12" s="1061" t="s">
        <v>1018</v>
      </c>
      <c r="Z12" s="2407"/>
      <c r="AA12" s="2408"/>
      <c r="AB12" s="1068" t="s">
        <v>1019</v>
      </c>
      <c r="AC12" s="1068" t="s">
        <v>1020</v>
      </c>
      <c r="AD12" s="1068" t="s">
        <v>1019</v>
      </c>
      <c r="AE12" s="1068" t="s">
        <v>1020</v>
      </c>
      <c r="AF12" s="2454"/>
      <c r="AG12" s="1081" t="s">
        <v>1021</v>
      </c>
      <c r="AH12" s="1081" t="s">
        <v>1022</v>
      </c>
      <c r="AI12" s="2454"/>
      <c r="AJ12" s="1081" t="s">
        <v>1021</v>
      </c>
      <c r="AK12" s="1081" t="s">
        <v>1022</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1023</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600"/>
      <c r="G17" s="2600"/>
      <c r="H17" s="2600"/>
      <c r="I17" s="2600"/>
      <c r="J17" s="2600"/>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600"/>
      <c r="G18" s="2600"/>
      <c r="H18" s="2600"/>
      <c r="I18" s="2600"/>
      <c r="J18" s="2600"/>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600"/>
      <c r="G19" s="2600"/>
      <c r="H19" s="2600"/>
      <c r="I19" s="2600"/>
      <c r="J19" s="2600"/>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83</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412BC-72B9-72D4-DEDC-FD74FADF0A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4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49"/>
      <c r="H5" s="2449"/>
      <c r="I5" s="2449"/>
      <c r="J5" s="2449"/>
      <c r="W5" s="1082">
        <v>26</v>
      </c>
    </row>
    <row r="6" spans="1:23" ht="10.5" customHeight="1">
      <c r="F6" s="2421" t="str">
        <f>IF(org=0,"Не определено",org)</f>
        <v>МУП "Городские тепловые сети" МО  "город Курчатов"</v>
      </c>
      <c r="G6" s="2421"/>
      <c r="H6" s="2421"/>
      <c r="I6" s="2421"/>
      <c r="J6" s="2421"/>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605" t="s">
        <v>307</v>
      </c>
      <c r="G9" s="2606"/>
      <c r="H9" s="2606"/>
      <c r="I9" s="2606"/>
      <c r="J9" s="2606"/>
      <c r="K9" s="1167"/>
      <c r="L9" s="1084"/>
      <c r="M9" s="1084"/>
      <c r="N9" s="1084"/>
      <c r="O9" s="1084"/>
      <c r="P9" s="1084"/>
      <c r="Q9" s="1084"/>
      <c r="R9" s="1084"/>
      <c r="S9" s="1084"/>
      <c r="T9" s="1084"/>
      <c r="U9" s="1084"/>
      <c r="V9" s="1084"/>
      <c r="W9" s="1082">
        <v>10</v>
      </c>
    </row>
    <row r="10" spans="1:23" ht="25.15" customHeight="1">
      <c r="E10" s="1084"/>
      <c r="F10" s="2609" t="s">
        <v>89</v>
      </c>
      <c r="G10" s="2613" t="s">
        <v>1024</v>
      </c>
      <c r="H10" s="2595" t="s">
        <v>1025</v>
      </c>
      <c r="I10" s="2595"/>
      <c r="J10" s="2595"/>
      <c r="K10" s="1160"/>
      <c r="L10" s="1084"/>
      <c r="M10" s="1084"/>
      <c r="N10" s="1084"/>
      <c r="O10" s="1084"/>
      <c r="P10" s="1084"/>
      <c r="Q10" s="1084"/>
      <c r="R10" s="1084"/>
      <c r="S10" s="1084"/>
      <c r="T10" s="1084"/>
      <c r="U10" s="1084"/>
      <c r="V10" s="1084"/>
      <c r="W10" s="1082">
        <v>24</v>
      </c>
    </row>
    <row r="11" spans="1:23" ht="25.5" customHeight="1">
      <c r="E11" s="1084"/>
      <c r="F11" s="2610"/>
      <c r="G11" s="2613"/>
      <c r="H11" s="2612" t="e">
        <f>INDEX(IP_MAIN_LIST_NAME_IP,MATCH(H8,IP_MAIN_LIST_IP_ID,0))&amp;" ("&amp;INDEX(IP_MAIN_START_DATE,MATCH(H8,IP_MAIN_LIST_IP_ID,0))&amp;"-"&amp;INDEX(IP_MAIN_END_DATE,MATCH(H8,IP_MAIN_LIST_IP_ID,0))&amp;")"</f>
        <v>#N/A</v>
      </c>
      <c r="I11" s="2612"/>
      <c r="J11" s="2612"/>
      <c r="K11" s="1160"/>
      <c r="L11" s="1084"/>
      <c r="M11" s="1084"/>
      <c r="N11" s="1084"/>
      <c r="O11" s="1084"/>
      <c r="P11" s="1084"/>
      <c r="Q11" s="1084"/>
      <c r="R11" s="1084"/>
      <c r="S11" s="1084"/>
      <c r="T11" s="1084"/>
      <c r="U11" s="1084"/>
      <c r="V11" s="1084"/>
      <c r="W11" s="1082">
        <v>24</v>
      </c>
    </row>
    <row r="12" spans="1:23" ht="10.5" customHeight="1">
      <c r="F12" s="2611"/>
      <c r="G12" s="2613"/>
      <c r="H12" s="1153" t="s">
        <v>1026</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1027</v>
      </c>
      <c r="G14" s="2607" t="s">
        <v>1028</v>
      </c>
      <c r="H14" s="2607"/>
      <c r="I14" s="2607"/>
      <c r="J14" s="2607"/>
      <c r="K14" s="1161"/>
      <c r="W14" s="1082">
        <v>11</v>
      </c>
    </row>
    <row r="15" spans="1:23" ht="11.45" customHeight="1">
      <c r="F15" s="1157">
        <v>1</v>
      </c>
      <c r="G15" s="627" t="s">
        <v>1029</v>
      </c>
      <c r="H15" s="1163">
        <f t="shared" ref="H15:H36" si="0">SUM(I15:J15)</f>
        <v>0</v>
      </c>
      <c r="I15" s="1163">
        <f>SUM(I16:I27)</f>
        <v>0</v>
      </c>
      <c r="J15" s="1152"/>
      <c r="K15" s="1161"/>
      <c r="W15" s="1082">
        <v>11</v>
      </c>
    </row>
    <row r="16" spans="1:23" ht="24" customHeight="1">
      <c r="F16" s="1157" t="s">
        <v>1030</v>
      </c>
      <c r="G16" s="1164" t="s">
        <v>1031</v>
      </c>
      <c r="H16" s="1163">
        <f t="shared" si="0"/>
        <v>0</v>
      </c>
      <c r="I16" s="1162"/>
      <c r="J16" s="1152"/>
      <c r="K16" s="1161"/>
      <c r="W16" s="1082">
        <v>23</v>
      </c>
    </row>
    <row r="17" spans="6:23" ht="24" customHeight="1">
      <c r="F17" s="1157" t="s">
        <v>1032</v>
      </c>
      <c r="G17" s="1164" t="s">
        <v>1033</v>
      </c>
      <c r="H17" s="1163">
        <f t="shared" si="0"/>
        <v>0</v>
      </c>
      <c r="I17" s="1162"/>
      <c r="J17" s="1152"/>
      <c r="K17" s="1161"/>
      <c r="W17" s="1082">
        <v>23</v>
      </c>
    </row>
    <row r="18" spans="6:23" ht="35.65" customHeight="1">
      <c r="F18" s="1157" t="s">
        <v>1034</v>
      </c>
      <c r="G18" s="1164" t="s">
        <v>1035</v>
      </c>
      <c r="H18" s="1163">
        <f t="shared" si="0"/>
        <v>0</v>
      </c>
      <c r="I18" s="1162"/>
      <c r="J18" s="1152"/>
      <c r="K18" s="1161"/>
      <c r="W18" s="1082">
        <v>34</v>
      </c>
    </row>
    <row r="19" spans="6:23" ht="35.65" customHeight="1">
      <c r="F19" s="1157" t="s">
        <v>1036</v>
      </c>
      <c r="G19" s="1164" t="s">
        <v>1037</v>
      </c>
      <c r="H19" s="1163">
        <f t="shared" si="0"/>
        <v>0</v>
      </c>
      <c r="I19" s="1162"/>
      <c r="J19" s="1152"/>
      <c r="K19" s="1161"/>
      <c r="W19" s="1082">
        <v>34</v>
      </c>
    </row>
    <row r="20" spans="6:23" ht="48.2" customHeight="1">
      <c r="F20" s="1157" t="s">
        <v>1038</v>
      </c>
      <c r="G20" s="1164" t="s">
        <v>1039</v>
      </c>
      <c r="H20" s="1163">
        <f t="shared" si="0"/>
        <v>0</v>
      </c>
      <c r="I20" s="1162"/>
      <c r="J20" s="1152"/>
      <c r="K20" s="1161"/>
      <c r="W20" s="1082">
        <v>46</v>
      </c>
    </row>
    <row r="21" spans="6:23" ht="35.65" customHeight="1">
      <c r="F21" s="1157" t="s">
        <v>1040</v>
      </c>
      <c r="G21" s="1164" t="s">
        <v>1041</v>
      </c>
      <c r="H21" s="1163">
        <f t="shared" si="0"/>
        <v>0</v>
      </c>
      <c r="I21" s="1162"/>
      <c r="J21" s="1152"/>
      <c r="K21" s="1161"/>
      <c r="W21" s="1082">
        <v>34</v>
      </c>
    </row>
    <row r="22" spans="6:23" ht="35.65" customHeight="1">
      <c r="F22" s="1157" t="s">
        <v>1042</v>
      </c>
      <c r="G22" s="1164" t="s">
        <v>1043</v>
      </c>
      <c r="H22" s="1163">
        <f t="shared" si="0"/>
        <v>0</v>
      </c>
      <c r="I22" s="1162"/>
      <c r="J22" s="1152"/>
      <c r="K22" s="1161"/>
      <c r="W22" s="1082">
        <v>34</v>
      </c>
    </row>
    <row r="23" spans="6:23" ht="24" customHeight="1">
      <c r="F23" s="1157" t="s">
        <v>1044</v>
      </c>
      <c r="G23" s="1164" t="s">
        <v>1045</v>
      </c>
      <c r="H23" s="1163">
        <f t="shared" si="0"/>
        <v>0</v>
      </c>
      <c r="I23" s="1162"/>
      <c r="J23" s="1152"/>
      <c r="K23" s="1161"/>
      <c r="W23" s="1082">
        <v>23</v>
      </c>
    </row>
    <row r="24" spans="6:23" ht="24" customHeight="1">
      <c r="F24" s="1157" t="s">
        <v>1046</v>
      </c>
      <c r="G24" s="1164" t="s">
        <v>1047</v>
      </c>
      <c r="H24" s="1163">
        <f t="shared" si="0"/>
        <v>0</v>
      </c>
      <c r="I24" s="1162"/>
      <c r="J24" s="1152"/>
      <c r="K24" s="1161"/>
      <c r="W24" s="1082">
        <v>23</v>
      </c>
    </row>
    <row r="25" spans="6:23" ht="35.65" customHeight="1">
      <c r="F25" s="1157" t="s">
        <v>1048</v>
      </c>
      <c r="G25" s="1164" t="s">
        <v>1049</v>
      </c>
      <c r="H25" s="1163">
        <f t="shared" si="0"/>
        <v>0</v>
      </c>
      <c r="I25" s="1162"/>
      <c r="J25" s="1152"/>
      <c r="K25" s="1161"/>
      <c r="W25" s="1082">
        <v>34</v>
      </c>
    </row>
    <row r="26" spans="6:23" ht="35.65" customHeight="1">
      <c r="F26" s="1157" t="s">
        <v>1050</v>
      </c>
      <c r="G26" s="1164" t="s">
        <v>1051</v>
      </c>
      <c r="H26" s="1163">
        <f t="shared" si="0"/>
        <v>0</v>
      </c>
      <c r="I26" s="1162"/>
      <c r="J26" s="1152"/>
      <c r="K26" s="1161"/>
      <c r="W26" s="1082">
        <v>34</v>
      </c>
    </row>
    <row r="27" spans="6:23" ht="11.45" customHeight="1">
      <c r="F27" s="1157" t="s">
        <v>1052</v>
      </c>
      <c r="G27" s="1164" t="s">
        <v>1053</v>
      </c>
      <c r="H27" s="1163">
        <f t="shared" si="0"/>
        <v>0</v>
      </c>
      <c r="I27" s="1162"/>
      <c r="J27" s="1152"/>
      <c r="K27" s="1161"/>
      <c r="W27" s="1082">
        <v>11</v>
      </c>
    </row>
    <row r="28" spans="6:23" ht="11.45" customHeight="1">
      <c r="F28" s="1157">
        <v>2</v>
      </c>
      <c r="G28" s="627" t="s">
        <v>1054</v>
      </c>
      <c r="H28" s="1163">
        <f t="shared" si="0"/>
        <v>0</v>
      </c>
      <c r="I28" s="1163">
        <f>SUM(I29:I31)</f>
        <v>0</v>
      </c>
      <c r="J28" s="1152"/>
      <c r="K28" s="1161"/>
      <c r="W28" s="1082">
        <v>11</v>
      </c>
    </row>
    <row r="29" spans="6:23" ht="11.45" customHeight="1">
      <c r="F29" s="1157" t="s">
        <v>717</v>
      </c>
      <c r="G29" s="1164" t="s">
        <v>1055</v>
      </c>
      <c r="H29" s="1163">
        <f t="shared" si="0"/>
        <v>0</v>
      </c>
      <c r="I29" s="1162"/>
      <c r="J29" s="1152"/>
      <c r="K29" s="1161"/>
      <c r="W29" s="1082">
        <v>11</v>
      </c>
    </row>
    <row r="30" spans="6:23" ht="11.45" customHeight="1">
      <c r="F30" s="1157" t="s">
        <v>314</v>
      </c>
      <c r="G30" s="1164" t="s">
        <v>1056</v>
      </c>
      <c r="H30" s="1163">
        <f t="shared" si="0"/>
        <v>0</v>
      </c>
      <c r="I30" s="1162"/>
      <c r="J30" s="1152"/>
      <c r="K30" s="1161"/>
      <c r="W30" s="1082">
        <v>11</v>
      </c>
    </row>
    <row r="31" spans="6:23" ht="11.45" customHeight="1">
      <c r="F31" s="1157" t="s">
        <v>317</v>
      </c>
      <c r="G31" s="1164" t="s">
        <v>1057</v>
      </c>
      <c r="H31" s="1163">
        <f t="shared" si="0"/>
        <v>0</v>
      </c>
      <c r="I31" s="1162"/>
      <c r="J31" s="1152"/>
      <c r="K31" s="1161"/>
      <c r="W31" s="1082">
        <v>11</v>
      </c>
    </row>
    <row r="32" spans="6:23" ht="11.45" customHeight="1">
      <c r="F32" s="1157">
        <v>3</v>
      </c>
      <c r="G32" s="627" t="s">
        <v>1058</v>
      </c>
      <c r="H32" s="1163">
        <f t="shared" si="0"/>
        <v>0</v>
      </c>
      <c r="I32" s="1163">
        <f>SUM(I33:I34)</f>
        <v>0</v>
      </c>
      <c r="J32" s="1152"/>
      <c r="K32" s="1161"/>
      <c r="W32" s="1082">
        <v>11</v>
      </c>
    </row>
    <row r="33" spans="6:23" ht="48.2" customHeight="1">
      <c r="F33" s="1157" t="s">
        <v>331</v>
      </c>
      <c r="G33" s="1164" t="s">
        <v>1059</v>
      </c>
      <c r="H33" s="1163">
        <f t="shared" si="0"/>
        <v>0</v>
      </c>
      <c r="I33" s="1162"/>
      <c r="J33" s="1152"/>
      <c r="K33" s="1161"/>
      <c r="W33" s="1082">
        <v>46</v>
      </c>
    </row>
    <row r="34" spans="6:23" ht="11.45" customHeight="1">
      <c r="F34" s="1157" t="s">
        <v>339</v>
      </c>
      <c r="G34" s="1164" t="s">
        <v>1060</v>
      </c>
      <c r="H34" s="1163">
        <f t="shared" si="0"/>
        <v>0</v>
      </c>
      <c r="I34" s="1162"/>
      <c r="J34" s="1152"/>
      <c r="K34" s="1161"/>
      <c r="W34" s="1082">
        <v>11</v>
      </c>
    </row>
    <row r="35" spans="6:23" ht="11.45" customHeight="1">
      <c r="F35" s="1157">
        <v>4</v>
      </c>
      <c r="G35" s="627" t="s">
        <v>1061</v>
      </c>
      <c r="H35" s="1163">
        <f t="shared" si="0"/>
        <v>0</v>
      </c>
      <c r="I35" s="1162"/>
      <c r="J35" s="1152"/>
      <c r="K35" s="1161"/>
      <c r="W35" s="1082">
        <v>11</v>
      </c>
    </row>
    <row r="36" spans="6:23" ht="11.45" customHeight="1">
      <c r="F36" s="1157"/>
      <c r="G36" s="630" t="s">
        <v>1062</v>
      </c>
      <c r="H36" s="1163">
        <f t="shared" si="0"/>
        <v>0</v>
      </c>
      <c r="I36" s="1163">
        <f>SUM(I15,I28,I32,I35)</f>
        <v>0</v>
      </c>
      <c r="J36" s="1152"/>
      <c r="K36" s="1161"/>
      <c r="W36" s="1082">
        <v>11</v>
      </c>
    </row>
    <row r="37" spans="6:23" ht="29.25" customHeight="1">
      <c r="F37" s="1158" t="s">
        <v>1063</v>
      </c>
      <c r="G37" s="2608" t="s">
        <v>1064</v>
      </c>
      <c r="H37" s="2608"/>
      <c r="I37" s="2608"/>
      <c r="J37" s="2608"/>
      <c r="K37" s="1161"/>
      <c r="W37" s="1082">
        <v>28</v>
      </c>
    </row>
    <row r="38" spans="6:23" ht="24" customHeight="1">
      <c r="F38" s="1157" t="s">
        <v>110</v>
      </c>
      <c r="G38" s="627" t="s">
        <v>1065</v>
      </c>
      <c r="H38" s="1163">
        <f t="shared" ref="H38:H58" si="1">SUM(I38:J38)</f>
        <v>0</v>
      </c>
      <c r="I38" s="1163">
        <f>SUM(I39,I44,I47)</f>
        <v>0</v>
      </c>
      <c r="J38" s="1152"/>
      <c r="K38" s="1161"/>
      <c r="W38" s="1082">
        <v>23</v>
      </c>
    </row>
    <row r="39" spans="6:23" ht="11.45" customHeight="1">
      <c r="F39" s="1157" t="s">
        <v>1030</v>
      </c>
      <c r="G39" s="1164" t="s">
        <v>1029</v>
      </c>
      <c r="H39" s="1163">
        <f t="shared" si="1"/>
        <v>0</v>
      </c>
      <c r="I39" s="1163">
        <f>SUM(I40:I43)</f>
        <v>0</v>
      </c>
      <c r="J39" s="1152"/>
      <c r="K39" s="1161"/>
      <c r="W39" s="1082">
        <v>11</v>
      </c>
    </row>
    <row r="40" spans="6:23" ht="24" customHeight="1">
      <c r="F40" s="1157" t="s">
        <v>1066</v>
      </c>
      <c r="G40" s="1165" t="s">
        <v>1067</v>
      </c>
      <c r="H40" s="1163">
        <f t="shared" si="1"/>
        <v>0</v>
      </c>
      <c r="I40" s="1162"/>
      <c r="J40" s="1152"/>
      <c r="K40" s="1161"/>
      <c r="W40" s="1082">
        <v>23</v>
      </c>
    </row>
    <row r="41" spans="6:23" ht="11.45" customHeight="1">
      <c r="F41" s="1157" t="s">
        <v>1068</v>
      </c>
      <c r="G41" s="1165" t="s">
        <v>1069</v>
      </c>
      <c r="H41" s="1163">
        <f t="shared" si="1"/>
        <v>0</v>
      </c>
      <c r="I41" s="1162"/>
      <c r="J41" s="1152"/>
      <c r="K41" s="1161"/>
      <c r="W41" s="1082">
        <v>11</v>
      </c>
    </row>
    <row r="42" spans="6:23" ht="11.45" customHeight="1">
      <c r="F42" s="1157" t="s">
        <v>1070</v>
      </c>
      <c r="G42" s="1165" t="s">
        <v>1071</v>
      </c>
      <c r="H42" s="1163">
        <f t="shared" si="1"/>
        <v>0</v>
      </c>
      <c r="I42" s="1162"/>
      <c r="J42" s="1152"/>
      <c r="K42" s="1161"/>
      <c r="W42" s="1082">
        <v>11</v>
      </c>
    </row>
    <row r="43" spans="6:23" ht="35.65" customHeight="1">
      <c r="F43" s="1157" t="s">
        <v>1072</v>
      </c>
      <c r="G43" s="1165" t="s">
        <v>1073</v>
      </c>
      <c r="H43" s="1163">
        <f t="shared" si="1"/>
        <v>0</v>
      </c>
      <c r="I43" s="1162"/>
      <c r="J43" s="1152"/>
      <c r="K43" s="1161"/>
      <c r="W43" s="1082">
        <v>34</v>
      </c>
    </row>
    <row r="44" spans="6:23" ht="11.45" customHeight="1">
      <c r="F44" s="1157" t="s">
        <v>1032</v>
      </c>
      <c r="G44" s="1164" t="s">
        <v>1058</v>
      </c>
      <c r="H44" s="1163">
        <f t="shared" si="1"/>
        <v>0</v>
      </c>
      <c r="I44" s="1163">
        <f>SUM(I45:I46)</f>
        <v>0</v>
      </c>
      <c r="J44" s="1152"/>
      <c r="K44" s="1161"/>
      <c r="W44" s="1082">
        <v>11</v>
      </c>
    </row>
    <row r="45" spans="6:23" ht="48.2" customHeight="1">
      <c r="F45" s="1157" t="s">
        <v>1074</v>
      </c>
      <c r="G45" s="1165" t="s">
        <v>1059</v>
      </c>
      <c r="H45" s="1163">
        <f t="shared" si="1"/>
        <v>0</v>
      </c>
      <c r="I45" s="1162"/>
      <c r="J45" s="1152"/>
      <c r="K45" s="1161"/>
      <c r="W45" s="1082">
        <v>46</v>
      </c>
    </row>
    <row r="46" spans="6:23" ht="11.45" customHeight="1">
      <c r="F46" s="1157" t="s">
        <v>1075</v>
      </c>
      <c r="G46" s="1165" t="s">
        <v>1060</v>
      </c>
      <c r="H46" s="1163">
        <f t="shared" si="1"/>
        <v>0</v>
      </c>
      <c r="I46" s="1162"/>
      <c r="J46" s="1152"/>
      <c r="K46" s="1161"/>
      <c r="W46" s="1082">
        <v>11</v>
      </c>
    </row>
    <row r="47" spans="6:23" ht="11.45" customHeight="1">
      <c r="F47" s="1157" t="s">
        <v>1034</v>
      </c>
      <c r="G47" s="1164" t="s">
        <v>1076</v>
      </c>
      <c r="H47" s="1163">
        <f t="shared" si="1"/>
        <v>0</v>
      </c>
      <c r="I47" s="1162"/>
      <c r="J47" s="1152"/>
      <c r="K47" s="1161"/>
      <c r="W47" s="1082">
        <v>11</v>
      </c>
    </row>
    <row r="48" spans="6:23" ht="24" customHeight="1">
      <c r="F48" s="1157" t="s">
        <v>111</v>
      </c>
      <c r="G48" s="627" t="s">
        <v>1077</v>
      </c>
      <c r="H48" s="1163">
        <f t="shared" si="1"/>
        <v>0</v>
      </c>
      <c r="I48" s="1163">
        <f>SUM(I49,I54,I57)</f>
        <v>0</v>
      </c>
      <c r="J48" s="1152"/>
      <c r="K48" s="1161"/>
      <c r="W48" s="1082">
        <v>23</v>
      </c>
    </row>
    <row r="49" spans="1:23" ht="11.45" customHeight="1">
      <c r="F49" s="1157" t="s">
        <v>717</v>
      </c>
      <c r="G49" s="1164" t="s">
        <v>1029</v>
      </c>
      <c r="H49" s="1163">
        <f t="shared" si="1"/>
        <v>0</v>
      </c>
      <c r="I49" s="1163">
        <f>SUM(I50:I53)</f>
        <v>0</v>
      </c>
      <c r="J49" s="1152"/>
      <c r="K49" s="1161"/>
      <c r="W49" s="1082">
        <v>11</v>
      </c>
    </row>
    <row r="50" spans="1:23" ht="24" customHeight="1">
      <c r="F50" s="1157" t="s">
        <v>720</v>
      </c>
      <c r="G50" s="1165" t="s">
        <v>1067</v>
      </c>
      <c r="H50" s="1163">
        <f t="shared" si="1"/>
        <v>0</v>
      </c>
      <c r="I50" s="1162"/>
      <c r="J50" s="1152"/>
      <c r="K50" s="1161"/>
      <c r="W50" s="1082">
        <v>23</v>
      </c>
    </row>
    <row r="51" spans="1:23" ht="11.45" customHeight="1">
      <c r="F51" s="1157" t="s">
        <v>723</v>
      </c>
      <c r="G51" s="1165" t="s">
        <v>1069</v>
      </c>
      <c r="H51" s="1163">
        <f t="shared" si="1"/>
        <v>0</v>
      </c>
      <c r="I51" s="1162"/>
      <c r="J51" s="1152"/>
      <c r="K51" s="1161"/>
      <c r="W51" s="1082">
        <v>11</v>
      </c>
    </row>
    <row r="52" spans="1:23" ht="11.45" customHeight="1">
      <c r="F52" s="1157" t="s">
        <v>1078</v>
      </c>
      <c r="G52" s="1165" t="s">
        <v>1071</v>
      </c>
      <c r="H52" s="1163">
        <f t="shared" si="1"/>
        <v>0</v>
      </c>
      <c r="I52" s="1162"/>
      <c r="J52" s="1152"/>
      <c r="K52" s="1161"/>
      <c r="W52" s="1082">
        <v>11</v>
      </c>
    </row>
    <row r="53" spans="1:23" ht="35.65" customHeight="1">
      <c r="F53" s="1157" t="s">
        <v>1079</v>
      </c>
      <c r="G53" s="1165" t="s">
        <v>1073</v>
      </c>
      <c r="H53" s="1163">
        <f t="shared" si="1"/>
        <v>0</v>
      </c>
      <c r="I53" s="1162"/>
      <c r="J53" s="1152"/>
      <c r="K53" s="1161"/>
      <c r="W53" s="1082">
        <v>34</v>
      </c>
    </row>
    <row r="54" spans="1:23" ht="11.45" customHeight="1">
      <c r="F54" s="1157" t="s">
        <v>314</v>
      </c>
      <c r="G54" s="1164" t="s">
        <v>1058</v>
      </c>
      <c r="H54" s="1163">
        <f t="shared" si="1"/>
        <v>0</v>
      </c>
      <c r="I54" s="1163">
        <f>SUM(I55:I56)</f>
        <v>0</v>
      </c>
      <c r="J54" s="1152"/>
      <c r="K54" s="1161"/>
      <c r="W54" s="1082">
        <v>11</v>
      </c>
    </row>
    <row r="55" spans="1:23" ht="48.2" customHeight="1">
      <c r="F55" s="1157" t="s">
        <v>727</v>
      </c>
      <c r="G55" s="1165" t="s">
        <v>1059</v>
      </c>
      <c r="H55" s="1163">
        <f t="shared" si="1"/>
        <v>0</v>
      </c>
      <c r="I55" s="1162"/>
      <c r="J55" s="1152"/>
      <c r="K55" s="1161"/>
      <c r="W55" s="1082">
        <v>46</v>
      </c>
    </row>
    <row r="56" spans="1:23" ht="11.45" customHeight="1">
      <c r="F56" s="1157" t="s">
        <v>729</v>
      </c>
      <c r="G56" s="1165" t="s">
        <v>1060</v>
      </c>
      <c r="H56" s="1163">
        <f t="shared" si="1"/>
        <v>0</v>
      </c>
      <c r="I56" s="1162"/>
      <c r="J56" s="1152"/>
      <c r="K56" s="1161"/>
      <c r="W56" s="1082">
        <v>11</v>
      </c>
    </row>
    <row r="57" spans="1:23" ht="11.45" customHeight="1">
      <c r="F57" s="1157" t="s">
        <v>317</v>
      </c>
      <c r="G57" s="1164" t="s">
        <v>1076</v>
      </c>
      <c r="H57" s="1163">
        <f t="shared" si="1"/>
        <v>0</v>
      </c>
      <c r="I57" s="1162"/>
      <c r="J57" s="1152"/>
      <c r="K57" s="1161"/>
      <c r="W57" s="1082">
        <v>11</v>
      </c>
    </row>
    <row r="58" spans="1:23" ht="11.45" customHeight="1">
      <c r="F58" s="1157"/>
      <c r="G58" s="1166" t="s">
        <v>1062</v>
      </c>
      <c r="H58" s="1163">
        <f t="shared" si="1"/>
        <v>0</v>
      </c>
      <c r="I58" s="1163">
        <f>SUM(I38,I48)</f>
        <v>0</v>
      </c>
      <c r="J58" s="1152"/>
      <c r="K58" s="1161"/>
      <c r="W58" s="1082">
        <v>11</v>
      </c>
    </row>
    <row r="59" spans="1:23" ht="10.5" hidden="1" customHeight="1">
      <c r="A59" s="1093" t="s">
        <v>83</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99684-D0C7-315B-2D8A-598BD60ED879}">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63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78"/>
      <c r="H5" s="2378"/>
      <c r="I5" s="2378"/>
      <c r="J5" s="2378"/>
      <c r="K5" s="2378"/>
      <c r="L5" s="2378"/>
      <c r="M5" s="2378"/>
      <c r="N5" s="2378"/>
      <c r="O5" s="2378"/>
      <c r="P5" s="2378"/>
      <c r="Q5" s="2378"/>
      <c r="R5" s="2378"/>
      <c r="S5" s="2378"/>
      <c r="T5" s="2378"/>
      <c r="U5" s="2378"/>
      <c r="V5" s="2378"/>
      <c r="W5" s="2378"/>
      <c r="X5" s="2378"/>
      <c r="Y5" s="2378"/>
      <c r="Z5" s="2378"/>
      <c r="AA5" s="2378"/>
      <c r="AB5" s="2378"/>
      <c r="AC5" s="2378"/>
      <c r="AD5" s="2378"/>
      <c r="AE5" s="2378"/>
      <c r="AF5" s="2378"/>
      <c r="AG5" s="2378"/>
      <c r="AH5" s="2378"/>
      <c r="AI5" s="2378"/>
      <c r="AJ5" s="2378"/>
      <c r="AK5" s="2378"/>
      <c r="AL5" s="2378"/>
      <c r="AM5" s="2378"/>
      <c r="AN5" s="2378"/>
      <c r="AO5" s="2378"/>
      <c r="AP5" s="2378"/>
      <c r="AQ5" s="2378"/>
      <c r="AR5" s="2378"/>
      <c r="AS5" s="2378"/>
      <c r="AT5" s="2378"/>
      <c r="AU5" s="2378"/>
      <c r="AV5" s="2378"/>
      <c r="AW5" s="2378"/>
      <c r="AX5" s="2378"/>
      <c r="AY5" s="2378"/>
      <c r="AZ5" s="2378"/>
      <c r="BA5" s="2378"/>
      <c r="BB5" s="2378"/>
      <c r="BC5" s="2378"/>
      <c r="BD5" s="2378"/>
      <c r="BE5" s="2378"/>
      <c r="BF5" s="2378"/>
      <c r="BG5" s="2378"/>
      <c r="BH5" s="2378"/>
      <c r="BI5" s="2378"/>
      <c r="BJ5" s="2378"/>
      <c r="BK5" s="2378"/>
      <c r="BL5" s="2378"/>
      <c r="BM5" s="2378"/>
      <c r="BN5" s="2378"/>
      <c r="BO5" s="2378"/>
      <c r="BP5" s="2378"/>
      <c r="BQ5" s="2378"/>
      <c r="BR5" s="2378"/>
      <c r="BS5" s="2378"/>
      <c r="GC5" s="1798">
        <v>26</v>
      </c>
    </row>
    <row r="6" spans="2:185" s="2001" customFormat="1" ht="18.75" customHeight="1">
      <c r="B6" s="873"/>
      <c r="E6" s="875"/>
      <c r="F6" s="2443" t="str">
        <f>IF(org=0,"Не определено",org)</f>
        <v>МУП "Городские тепловые сети" МО  "город Курчатов"</v>
      </c>
      <c r="G6" s="2444"/>
      <c r="H6" s="2444"/>
      <c r="I6" s="2444"/>
      <c r="J6" s="2444"/>
      <c r="K6" s="2444"/>
      <c r="L6" s="2444"/>
      <c r="M6" s="2444"/>
      <c r="N6" s="2444"/>
      <c r="O6" s="2444"/>
      <c r="P6" s="2444"/>
      <c r="Q6" s="2444"/>
      <c r="R6" s="2444"/>
      <c r="S6" s="2444"/>
      <c r="T6" s="2444"/>
      <c r="U6" s="2444"/>
      <c r="V6" s="2444"/>
      <c r="W6" s="2444"/>
      <c r="X6" s="2444"/>
      <c r="Y6" s="2444"/>
      <c r="Z6" s="2444"/>
      <c r="AA6" s="2444"/>
      <c r="AB6" s="2444"/>
      <c r="AC6" s="2444"/>
      <c r="AD6" s="2444"/>
      <c r="AE6" s="2444"/>
      <c r="AF6" s="2444"/>
      <c r="AG6" s="2444"/>
      <c r="AH6" s="2444"/>
      <c r="AI6" s="2444"/>
      <c r="AJ6" s="2444"/>
      <c r="AK6" s="2444"/>
      <c r="AL6" s="2444"/>
      <c r="AM6" s="2444"/>
      <c r="AN6" s="2444"/>
      <c r="AO6" s="2444"/>
      <c r="AP6" s="2444"/>
      <c r="AQ6" s="2444"/>
      <c r="AR6" s="2444"/>
      <c r="AS6" s="2444"/>
      <c r="AT6" s="2444"/>
      <c r="AU6" s="2444"/>
      <c r="AV6" s="2444"/>
      <c r="AW6" s="2444"/>
      <c r="AX6" s="2444"/>
      <c r="AY6" s="2444"/>
      <c r="AZ6" s="2444"/>
      <c r="BA6" s="2444"/>
      <c r="BB6" s="2444"/>
      <c r="BC6" s="2444"/>
      <c r="BD6" s="2444"/>
      <c r="BE6" s="2444"/>
      <c r="BF6" s="2444"/>
      <c r="BG6" s="2444"/>
      <c r="BH6" s="2444"/>
      <c r="BI6" s="2444"/>
      <c r="BJ6" s="2444"/>
      <c r="BK6" s="2444"/>
      <c r="BL6" s="2444"/>
      <c r="BM6" s="2444"/>
      <c r="BN6" s="2444"/>
      <c r="BO6" s="2444"/>
      <c r="BP6" s="2444"/>
      <c r="BQ6" s="2444"/>
      <c r="BR6" s="2444"/>
      <c r="BS6" s="2444"/>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623" t="s">
        <v>1080</v>
      </c>
      <c r="P8" s="2624"/>
      <c r="Q8" s="2624"/>
      <c r="R8" s="2624"/>
      <c r="S8" s="2624"/>
      <c r="T8" s="2624"/>
      <c r="U8" s="2624"/>
      <c r="V8" s="2624"/>
      <c r="W8" s="2624"/>
      <c r="X8" s="2624"/>
      <c r="Y8" s="2624"/>
      <c r="Z8" s="2624"/>
      <c r="AA8" s="2624"/>
      <c r="AB8" s="2624"/>
      <c r="AC8" s="2624"/>
      <c r="AD8" s="2624"/>
      <c r="AE8" s="2624"/>
      <c r="AF8" s="2624"/>
      <c r="AG8" s="2624"/>
      <c r="AH8" s="2624"/>
      <c r="AI8" s="2624"/>
      <c r="AJ8" s="2624"/>
      <c r="AK8" s="2624"/>
      <c r="AL8" s="2624"/>
      <c r="AM8" s="2624"/>
      <c r="AN8" s="2624"/>
      <c r="AO8" s="2624"/>
      <c r="AP8" s="2624"/>
      <c r="AQ8" s="2624"/>
      <c r="AR8" s="2624"/>
      <c r="AS8" s="2624"/>
      <c r="AT8" s="2624"/>
      <c r="AU8" s="2624"/>
      <c r="AV8" s="2624"/>
      <c r="AW8" s="2624"/>
      <c r="AX8" s="2624"/>
      <c r="AY8" s="2624"/>
      <c r="AZ8" s="2624"/>
      <c r="BA8" s="2624"/>
      <c r="BB8" s="2624"/>
      <c r="BC8" s="2624"/>
      <c r="BD8" s="2624"/>
      <c r="BE8" s="2624"/>
      <c r="BF8" s="2624"/>
      <c r="BG8" s="2624"/>
      <c r="BH8" s="2624"/>
      <c r="BI8" s="2624"/>
      <c r="BJ8" s="2624"/>
      <c r="BK8" s="2624"/>
      <c r="BL8" s="2624"/>
      <c r="BM8" s="2624"/>
      <c r="BN8" s="2624"/>
      <c r="BO8" s="2624"/>
      <c r="BP8" s="2624"/>
      <c r="BQ8" s="2624"/>
      <c r="BR8" s="2624"/>
      <c r="BS8" s="2625"/>
      <c r="BT8" s="2626"/>
      <c r="BU8" s="2627"/>
      <c r="BV8" s="2627"/>
      <c r="BW8" s="2627"/>
      <c r="BX8" s="2627"/>
      <c r="BY8" s="2627"/>
      <c r="BZ8" s="2627"/>
      <c r="CA8" s="2627"/>
      <c r="CB8" s="2627"/>
      <c r="CC8" s="2627"/>
      <c r="CD8" s="2627"/>
      <c r="CE8" s="2627"/>
      <c r="CF8" s="2627"/>
      <c r="CG8" s="2627"/>
      <c r="CH8" s="2627"/>
      <c r="CI8" s="2627"/>
      <c r="CJ8" s="2627"/>
      <c r="CK8" s="2627"/>
      <c r="CL8" s="2627"/>
      <c r="CM8" s="2627"/>
      <c r="CN8" s="2627"/>
      <c r="CO8" s="2627"/>
      <c r="CP8" s="2627"/>
      <c r="CQ8" s="2627"/>
      <c r="CR8" s="2627"/>
      <c r="CS8" s="2627"/>
      <c r="CT8" s="2627"/>
      <c r="CU8" s="2627"/>
      <c r="CV8" s="2627"/>
      <c r="CW8" s="2627"/>
      <c r="CX8" s="2628"/>
      <c r="CY8" s="2629"/>
      <c r="CZ8" s="2630"/>
      <c r="DA8" s="2630"/>
      <c r="DB8" s="2630"/>
      <c r="DC8" s="2630"/>
      <c r="DD8" s="2630"/>
      <c r="DE8" s="2630"/>
      <c r="DF8" s="2630"/>
      <c r="DG8" s="2630"/>
      <c r="DH8" s="2630"/>
      <c r="DI8" s="2630"/>
      <c r="DJ8" s="2630"/>
      <c r="DK8" s="2630"/>
      <c r="DL8" s="2630"/>
      <c r="DM8" s="2630"/>
      <c r="DN8" s="2630"/>
      <c r="DO8" s="2630"/>
      <c r="DP8" s="2630"/>
      <c r="DQ8" s="2630"/>
      <c r="DR8" s="2630"/>
      <c r="DS8" s="2630"/>
      <c r="DT8" s="2630"/>
      <c r="DU8" s="2630"/>
      <c r="DV8" s="2630"/>
      <c r="DW8" s="2630"/>
      <c r="DX8" s="2631"/>
      <c r="DY8" s="2617" t="s">
        <v>1081</v>
      </c>
      <c r="DZ8" s="2618"/>
      <c r="EA8" s="2618"/>
      <c r="EB8" s="2618"/>
      <c r="EC8" s="2618"/>
      <c r="ED8" s="2618"/>
      <c r="EE8" s="2618"/>
      <c r="EF8" s="2618"/>
      <c r="EG8" s="2618"/>
      <c r="EH8" s="2618"/>
      <c r="EI8" s="2618"/>
      <c r="EJ8" s="2618"/>
      <c r="EK8" s="2618"/>
      <c r="EL8" s="2618"/>
      <c r="EM8" s="2618"/>
      <c r="EN8" s="2618"/>
      <c r="EO8" s="2618"/>
      <c r="EP8" s="2618"/>
      <c r="EQ8" s="2618"/>
      <c r="ER8" s="2618"/>
      <c r="ES8" s="2618"/>
      <c r="ET8" s="2618"/>
      <c r="EU8" s="2618"/>
      <c r="EV8" s="2618"/>
      <c r="EW8" s="2618"/>
      <c r="EX8" s="2618"/>
      <c r="EY8" s="2618"/>
      <c r="EZ8" s="2618"/>
      <c r="FA8" s="2618"/>
      <c r="FB8" s="2618"/>
      <c r="FC8" s="2618"/>
      <c r="FD8" s="2618"/>
      <c r="FE8" s="2618"/>
      <c r="FF8" s="2618"/>
      <c r="FG8" s="2618"/>
      <c r="FH8" s="2618"/>
      <c r="FI8" s="2618"/>
      <c r="FJ8" s="2618"/>
      <c r="FK8" s="2618"/>
      <c r="FL8" s="2618"/>
      <c r="FM8" s="2618"/>
      <c r="FN8" s="2618"/>
      <c r="FO8" s="2618"/>
      <c r="FP8" s="2618"/>
      <c r="FQ8" s="2618"/>
      <c r="FR8" s="2618"/>
      <c r="FS8" s="2618"/>
      <c r="FT8" s="2618"/>
      <c r="FU8" s="2618"/>
      <c r="FV8" s="2618"/>
      <c r="FW8" s="2619"/>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620"/>
      <c r="FX9" s="986"/>
      <c r="GC9" s="863">
        <v>0</v>
      </c>
    </row>
    <row r="10" spans="2:185" s="863" customFormat="1" ht="11.45" customHeight="1">
      <c r="B10" s="864"/>
      <c r="F10" s="2596" t="s">
        <v>307</v>
      </c>
      <c r="G10" s="2633"/>
      <c r="H10" s="2633"/>
      <c r="I10" s="2633"/>
      <c r="J10" s="2633"/>
      <c r="K10" s="2633"/>
      <c r="L10" s="2633"/>
      <c r="M10" s="2633"/>
      <c r="N10" s="2633"/>
      <c r="O10" s="2633"/>
      <c r="P10" s="2633"/>
      <c r="Q10" s="2633"/>
      <c r="R10" s="2633"/>
      <c r="S10" s="2633"/>
      <c r="T10" s="2633"/>
      <c r="U10" s="2633"/>
      <c r="V10" s="2633"/>
      <c r="W10" s="2633"/>
      <c r="X10" s="2633"/>
      <c r="Y10" s="2633"/>
      <c r="Z10" s="2633"/>
      <c r="AA10" s="2633"/>
      <c r="AB10" s="2633"/>
      <c r="AC10" s="2633"/>
      <c r="AD10" s="2633"/>
      <c r="AE10" s="2633"/>
      <c r="AF10" s="2633"/>
      <c r="AG10" s="2633"/>
      <c r="AH10" s="2633"/>
      <c r="AI10" s="2633"/>
      <c r="AJ10" s="2633"/>
      <c r="AK10" s="2633"/>
      <c r="AL10" s="2633"/>
      <c r="AM10" s="2633"/>
      <c r="AN10" s="2633"/>
      <c r="AO10" s="2633"/>
      <c r="AP10" s="2633"/>
      <c r="AQ10" s="2633"/>
      <c r="AR10" s="2633"/>
      <c r="AS10" s="2633"/>
      <c r="AT10" s="2633"/>
      <c r="AU10" s="2633"/>
      <c r="AV10" s="2633"/>
      <c r="AW10" s="2633"/>
      <c r="AX10" s="2633"/>
      <c r="AY10" s="2633"/>
      <c r="AZ10" s="2633"/>
      <c r="BA10" s="2633"/>
      <c r="BB10" s="2633"/>
      <c r="BC10" s="2633"/>
      <c r="BD10" s="2633"/>
      <c r="BE10" s="2633"/>
      <c r="BF10" s="2633"/>
      <c r="BG10" s="2633"/>
      <c r="BH10" s="2633"/>
      <c r="BI10" s="2633"/>
      <c r="BJ10" s="2633"/>
      <c r="BK10" s="2633"/>
      <c r="BL10" s="2633"/>
      <c r="BM10" s="2633"/>
      <c r="BN10" s="2633"/>
      <c r="BO10" s="2633"/>
      <c r="BP10" s="2633"/>
      <c r="BQ10" s="2633"/>
      <c r="BR10" s="2633"/>
      <c r="BS10" s="2633"/>
      <c r="BT10" s="2633"/>
      <c r="BU10" s="2633"/>
      <c r="BV10" s="2633"/>
      <c r="BW10" s="2633"/>
      <c r="BX10" s="2633"/>
      <c r="BY10" s="2633"/>
      <c r="BZ10" s="2633"/>
      <c r="CA10" s="2633"/>
      <c r="CB10" s="2633"/>
      <c r="CC10" s="2633"/>
      <c r="CD10" s="2633"/>
      <c r="CE10" s="2633"/>
      <c r="CF10" s="2633"/>
      <c r="CG10" s="2633"/>
      <c r="CH10" s="2633"/>
      <c r="CI10" s="2633"/>
      <c r="CJ10" s="2633"/>
      <c r="CK10" s="2633"/>
      <c r="CL10" s="2633"/>
      <c r="CM10" s="2633"/>
      <c r="CN10" s="2633"/>
      <c r="CO10" s="2633"/>
      <c r="CP10" s="2633"/>
      <c r="CQ10" s="2633"/>
      <c r="CR10" s="2633"/>
      <c r="CS10" s="2633"/>
      <c r="CT10" s="2633"/>
      <c r="CU10" s="2633"/>
      <c r="CV10" s="2633"/>
      <c r="CW10" s="2633"/>
      <c r="CX10" s="2633"/>
      <c r="CY10" s="2633"/>
      <c r="CZ10" s="2633"/>
      <c r="DA10" s="2633"/>
      <c r="DB10" s="2633"/>
      <c r="DC10" s="2633"/>
      <c r="DD10" s="2633"/>
      <c r="DE10" s="2633"/>
      <c r="DF10" s="2633"/>
      <c r="DG10" s="2633"/>
      <c r="DH10" s="2633"/>
      <c r="DI10" s="2633"/>
      <c r="DJ10" s="2633"/>
      <c r="DK10" s="2633"/>
      <c r="DL10" s="2633"/>
      <c r="DM10" s="2633"/>
      <c r="DN10" s="2633"/>
      <c r="DO10" s="2633"/>
      <c r="DP10" s="2633"/>
      <c r="DQ10" s="2633"/>
      <c r="DR10" s="2633"/>
      <c r="DS10" s="2633"/>
      <c r="DT10" s="2633"/>
      <c r="DU10" s="2633"/>
      <c r="DV10" s="2633"/>
      <c r="DW10" s="2633"/>
      <c r="DX10" s="2633"/>
      <c r="DY10" s="2633"/>
      <c r="DZ10" s="2633"/>
      <c r="EA10" s="2633"/>
      <c r="EB10" s="2633"/>
      <c r="EC10" s="2633"/>
      <c r="ED10" s="2633"/>
      <c r="EE10" s="2633"/>
      <c r="EF10" s="2633"/>
      <c r="EG10" s="2633"/>
      <c r="EH10" s="2633"/>
      <c r="EI10" s="2633"/>
      <c r="EJ10" s="2633"/>
      <c r="EK10" s="2633"/>
      <c r="EL10" s="2633"/>
      <c r="EM10" s="2633"/>
      <c r="EN10" s="2633"/>
      <c r="EO10" s="2633"/>
      <c r="EP10" s="2633"/>
      <c r="EQ10" s="2633"/>
      <c r="ER10" s="2633"/>
      <c r="ES10" s="2633"/>
      <c r="ET10" s="2633"/>
      <c r="EU10" s="2633"/>
      <c r="EV10" s="2633"/>
      <c r="EW10" s="2633"/>
      <c r="EX10" s="2633"/>
      <c r="EY10" s="2633"/>
      <c r="EZ10" s="2633"/>
      <c r="FA10" s="2633"/>
      <c r="FB10" s="2633"/>
      <c r="FC10" s="2633"/>
      <c r="FD10" s="2633"/>
      <c r="FE10" s="2633"/>
      <c r="FF10" s="2633"/>
      <c r="FG10" s="2633"/>
      <c r="FH10" s="2633"/>
      <c r="FI10" s="2633"/>
      <c r="FJ10" s="2633"/>
      <c r="FK10" s="2633"/>
      <c r="FL10" s="2633"/>
      <c r="FM10" s="2633"/>
      <c r="FN10" s="2633"/>
      <c r="FO10" s="2633"/>
      <c r="FP10" s="2633"/>
      <c r="FQ10" s="2633"/>
      <c r="FR10" s="2633"/>
      <c r="FS10" s="2633"/>
      <c r="FT10" s="2633"/>
      <c r="FU10" s="2633"/>
      <c r="FV10" s="2634"/>
      <c r="FW10" s="2620"/>
      <c r="FX10" s="986"/>
      <c r="GC10" s="863">
        <v>11</v>
      </c>
    </row>
    <row r="11" spans="2:185" ht="12.75" customHeight="1">
      <c r="E11" s="867"/>
      <c r="F11" s="2425" t="s">
        <v>89</v>
      </c>
      <c r="G11" s="2425" t="s">
        <v>1082</v>
      </c>
      <c r="H11" s="2425" t="s">
        <v>1083</v>
      </c>
      <c r="I11" s="2425" t="s">
        <v>1084</v>
      </c>
      <c r="J11" s="2632"/>
      <c r="K11" s="2632"/>
      <c r="L11" s="2632"/>
      <c r="M11" s="2632"/>
      <c r="N11" s="2632"/>
      <c r="O11" s="2429" t="s">
        <v>1085</v>
      </c>
      <c r="P11" s="2429"/>
      <c r="Q11" s="2429"/>
      <c r="R11" s="2429"/>
      <c r="S11" s="2429"/>
      <c r="T11" s="2429"/>
      <c r="U11" s="2429"/>
      <c r="V11" s="2429"/>
      <c r="W11" s="2429"/>
      <c r="X11" s="2429"/>
      <c r="Y11" s="2429"/>
      <c r="Z11" s="2429"/>
      <c r="AA11" s="2429"/>
      <c r="AB11" s="2429"/>
      <c r="AC11" s="2615"/>
      <c r="AD11" s="2615"/>
      <c r="AE11" s="2615"/>
      <c r="AF11" s="2615"/>
      <c r="AG11" s="2615"/>
      <c r="AH11" s="2615"/>
      <c r="AI11" s="2615"/>
      <c r="AJ11" s="2615"/>
      <c r="AK11" s="2615"/>
      <c r="AL11" s="2615"/>
      <c r="AM11" s="2615"/>
      <c r="AN11" s="2615"/>
      <c r="AO11" s="2615"/>
      <c r="AP11" s="2615"/>
      <c r="AQ11" s="2615"/>
      <c r="AR11" s="2615"/>
      <c r="AS11" s="2615"/>
      <c r="AT11" s="2615"/>
      <c r="AU11" s="2615"/>
      <c r="AV11" s="2615"/>
      <c r="AW11" s="2615"/>
      <c r="AX11" s="2615"/>
      <c r="AY11" s="2615"/>
      <c r="AZ11" s="2615"/>
      <c r="BA11" s="2615"/>
      <c r="BB11" s="2615"/>
      <c r="BC11" s="2615"/>
      <c r="BD11" s="2615"/>
      <c r="BE11" s="2615"/>
      <c r="BF11" s="2615"/>
      <c r="BG11" s="2615"/>
      <c r="BH11" s="2615"/>
      <c r="BI11" s="2615"/>
      <c r="BJ11" s="2615"/>
      <c r="BK11" s="2615"/>
      <c r="BL11" s="2615"/>
      <c r="BM11" s="2615"/>
      <c r="BN11" s="2615"/>
      <c r="BO11" s="2615"/>
      <c r="BP11" s="2615"/>
      <c r="BQ11" s="2615"/>
      <c r="BR11" s="2615"/>
      <c r="BS11" s="2616"/>
      <c r="BT11" s="2582" t="s">
        <v>1085</v>
      </c>
      <c r="BU11" s="2583"/>
      <c r="BV11" s="2583"/>
      <c r="BW11" s="2583"/>
      <c r="BX11" s="2583"/>
      <c r="BY11" s="2583"/>
      <c r="BZ11" s="2583"/>
      <c r="CA11" s="2583"/>
      <c r="CB11" s="2583"/>
      <c r="CC11" s="2583"/>
      <c r="CD11" s="2583"/>
      <c r="CE11" s="2583"/>
      <c r="CF11" s="2583"/>
      <c r="CG11" s="2583"/>
      <c r="CH11" s="2583"/>
      <c r="CI11" s="2583"/>
      <c r="CJ11" s="2583"/>
      <c r="CK11" s="2614"/>
      <c r="CL11" s="2622"/>
      <c r="CM11" s="2615"/>
      <c r="CN11" s="2615"/>
      <c r="CO11" s="2615"/>
      <c r="CP11" s="2615"/>
      <c r="CQ11" s="2615"/>
      <c r="CR11" s="2615"/>
      <c r="CS11" s="2615"/>
      <c r="CT11" s="2615"/>
      <c r="CU11" s="2615"/>
      <c r="CV11" s="2615"/>
      <c r="CW11" s="2615"/>
      <c r="CX11" s="2616"/>
      <c r="CY11" s="2582" t="s">
        <v>1085</v>
      </c>
      <c r="CZ11" s="2583"/>
      <c r="DA11" s="2583"/>
      <c r="DB11" s="2583"/>
      <c r="DC11" s="2583"/>
      <c r="DD11" s="2583"/>
      <c r="DE11" s="2583"/>
      <c r="DF11" s="2583"/>
      <c r="DG11" s="2583"/>
      <c r="DH11" s="2583"/>
      <c r="DI11" s="2583"/>
      <c r="DJ11" s="2614"/>
      <c r="DK11" s="2622"/>
      <c r="DL11" s="2615"/>
      <c r="DM11" s="2615"/>
      <c r="DN11" s="2615"/>
      <c r="DO11" s="2615"/>
      <c r="DP11" s="2615"/>
      <c r="DQ11" s="2615"/>
      <c r="DR11" s="2615"/>
      <c r="DS11" s="2615"/>
      <c r="DT11" s="2615"/>
      <c r="DU11" s="2615"/>
      <c r="DV11" s="2615"/>
      <c r="DW11" s="2615"/>
      <c r="DX11" s="2615"/>
      <c r="DY11" s="2615"/>
      <c r="DZ11" s="2615"/>
      <c r="EA11" s="2615"/>
      <c r="EB11" s="2615"/>
      <c r="EC11" s="2615"/>
      <c r="ED11" s="2615"/>
      <c r="EE11" s="2615"/>
      <c r="EF11" s="2615"/>
      <c r="EG11" s="2615"/>
      <c r="EH11" s="2615"/>
      <c r="EI11" s="2615"/>
      <c r="EJ11" s="2615"/>
      <c r="EK11" s="2615"/>
      <c r="EL11" s="2615"/>
      <c r="EM11" s="2615"/>
      <c r="EN11" s="2615"/>
      <c r="EO11" s="2615"/>
      <c r="EP11" s="2615"/>
      <c r="EQ11" s="2615"/>
      <c r="ER11" s="2615"/>
      <c r="ES11" s="2615"/>
      <c r="ET11" s="2615"/>
      <c r="EU11" s="2615"/>
      <c r="EV11" s="2615"/>
      <c r="EW11" s="2615"/>
      <c r="EX11" s="2615"/>
      <c r="EY11" s="2615"/>
      <c r="EZ11" s="2615"/>
      <c r="FA11" s="2615"/>
      <c r="FB11" s="2615"/>
      <c r="FC11" s="2615"/>
      <c r="FD11" s="2615"/>
      <c r="FE11" s="2615"/>
      <c r="FF11" s="2615"/>
      <c r="FG11" s="2615"/>
      <c r="FH11" s="2615"/>
      <c r="FI11" s="2615"/>
      <c r="FJ11" s="2615"/>
      <c r="FK11" s="2615"/>
      <c r="FL11" s="2615"/>
      <c r="FM11" s="2615"/>
      <c r="FN11" s="2615"/>
      <c r="FO11" s="2615"/>
      <c r="FP11" s="2615"/>
      <c r="FQ11" s="2615"/>
      <c r="FR11" s="2615"/>
      <c r="FS11" s="2615"/>
      <c r="FT11" s="2615"/>
      <c r="FU11" s="2615"/>
      <c r="FV11" s="2615"/>
      <c r="FW11" s="2620"/>
      <c r="FX11" s="697"/>
      <c r="GC11" s="856">
        <v>12</v>
      </c>
    </row>
    <row r="12" spans="2:185" ht="12.75" customHeight="1">
      <c r="D12" s="868"/>
      <c r="E12" s="867"/>
      <c r="F12" s="2425"/>
      <c r="G12" s="2425"/>
      <c r="H12" s="2425"/>
      <c r="I12" s="2425"/>
      <c r="J12" s="2632"/>
      <c r="K12" s="2632"/>
      <c r="L12" s="2632"/>
      <c r="M12" s="2632"/>
      <c r="N12" s="2632"/>
      <c r="O12" s="2429" t="s">
        <v>1086</v>
      </c>
      <c r="P12" s="2429"/>
      <c r="Q12" s="2429"/>
      <c r="R12" s="2429"/>
      <c r="S12" s="2429" t="s">
        <v>1087</v>
      </c>
      <c r="T12" s="2429"/>
      <c r="U12" s="2429"/>
      <c r="V12" s="2429"/>
      <c r="W12" s="2429"/>
      <c r="X12" s="2429"/>
      <c r="Y12" s="2429"/>
      <c r="Z12" s="2429"/>
      <c r="AA12" s="2429"/>
      <c r="AB12" s="2429"/>
      <c r="AC12" s="2615"/>
      <c r="AD12" s="2615"/>
      <c r="AE12" s="2615"/>
      <c r="AF12" s="2615"/>
      <c r="AG12" s="2615"/>
      <c r="AH12" s="2615"/>
      <c r="AI12" s="2615"/>
      <c r="AJ12" s="2615"/>
      <c r="AK12" s="2615"/>
      <c r="AL12" s="2615"/>
      <c r="AM12" s="2615"/>
      <c r="AN12" s="2615"/>
      <c r="AO12" s="2615"/>
      <c r="AP12" s="2615"/>
      <c r="AQ12" s="2615"/>
      <c r="AR12" s="2615"/>
      <c r="AS12" s="2615"/>
      <c r="AT12" s="2615"/>
      <c r="AU12" s="2615"/>
      <c r="AV12" s="2615"/>
      <c r="AW12" s="2615"/>
      <c r="AX12" s="2615"/>
      <c r="AY12" s="2615"/>
      <c r="AZ12" s="2615"/>
      <c r="BA12" s="2615"/>
      <c r="BB12" s="2615"/>
      <c r="BC12" s="2615"/>
      <c r="BD12" s="2615"/>
      <c r="BE12" s="2615"/>
      <c r="BF12" s="2615"/>
      <c r="BG12" s="2615"/>
      <c r="BH12" s="2615"/>
      <c r="BI12" s="2615"/>
      <c r="BJ12" s="2615"/>
      <c r="BK12" s="2615"/>
      <c r="BL12" s="2615"/>
      <c r="BM12" s="2615"/>
      <c r="BN12" s="2615"/>
      <c r="BO12" s="2615"/>
      <c r="BP12" s="2615"/>
      <c r="BQ12" s="2615"/>
      <c r="BR12" s="2615"/>
      <c r="BS12" s="2616"/>
      <c r="BT12" s="2582" t="s">
        <v>1088</v>
      </c>
      <c r="BU12" s="2583"/>
      <c r="BV12" s="2583"/>
      <c r="BW12" s="2614"/>
      <c r="BX12" s="2582" t="s">
        <v>1089</v>
      </c>
      <c r="BY12" s="2583"/>
      <c r="BZ12" s="2583"/>
      <c r="CA12" s="2614"/>
      <c r="CB12" s="2582" t="s">
        <v>1090</v>
      </c>
      <c r="CC12" s="2614"/>
      <c r="CD12" s="2582" t="s">
        <v>1091</v>
      </c>
      <c r="CE12" s="2583"/>
      <c r="CF12" s="2583"/>
      <c r="CG12" s="2583"/>
      <c r="CH12" s="2583"/>
      <c r="CI12" s="2583"/>
      <c r="CJ12" s="2583"/>
      <c r="CK12" s="2614"/>
      <c r="CL12" s="2622"/>
      <c r="CM12" s="2615"/>
      <c r="CN12" s="2615"/>
      <c r="CO12" s="2615"/>
      <c r="CP12" s="2615"/>
      <c r="CQ12" s="2615"/>
      <c r="CR12" s="2615"/>
      <c r="CS12" s="2615"/>
      <c r="CT12" s="2615"/>
      <c r="CU12" s="2615"/>
      <c r="CV12" s="2615"/>
      <c r="CW12" s="2615"/>
      <c r="CX12" s="2616"/>
      <c r="CY12" s="2582" t="s">
        <v>1092</v>
      </c>
      <c r="CZ12" s="2583"/>
      <c r="DA12" s="2583"/>
      <c r="DB12" s="2583"/>
      <c r="DC12" s="2583"/>
      <c r="DD12" s="2614"/>
      <c r="DE12" s="2582" t="s">
        <v>1093</v>
      </c>
      <c r="DF12" s="2614"/>
      <c r="DG12" s="2582" t="s">
        <v>1091</v>
      </c>
      <c r="DH12" s="2583"/>
      <c r="DI12" s="2583"/>
      <c r="DJ12" s="2614"/>
      <c r="DK12" s="2622"/>
      <c r="DL12" s="2615"/>
      <c r="DM12" s="2615"/>
      <c r="DN12" s="2615"/>
      <c r="DO12" s="2615"/>
      <c r="DP12" s="2615"/>
      <c r="DQ12" s="2615"/>
      <c r="DR12" s="2615"/>
      <c r="DS12" s="2615"/>
      <c r="DT12" s="2615"/>
      <c r="DU12" s="2615"/>
      <c r="DV12" s="2615"/>
      <c r="DW12" s="2615"/>
      <c r="DX12" s="2615"/>
      <c r="DY12" s="2615"/>
      <c r="DZ12" s="2615"/>
      <c r="EA12" s="2615"/>
      <c r="EB12" s="2615"/>
      <c r="EC12" s="2615"/>
      <c r="ED12" s="2615"/>
      <c r="EE12" s="2615"/>
      <c r="EF12" s="2615"/>
      <c r="EG12" s="2615"/>
      <c r="EH12" s="2615"/>
      <c r="EI12" s="2615"/>
      <c r="EJ12" s="2615"/>
      <c r="EK12" s="2615"/>
      <c r="EL12" s="2615"/>
      <c r="EM12" s="2615"/>
      <c r="EN12" s="2615"/>
      <c r="EO12" s="2615"/>
      <c r="EP12" s="2615"/>
      <c r="EQ12" s="2615"/>
      <c r="ER12" s="2615"/>
      <c r="ES12" s="2615"/>
      <c r="ET12" s="2615"/>
      <c r="EU12" s="2615"/>
      <c r="EV12" s="2615"/>
      <c r="EW12" s="2615"/>
      <c r="EX12" s="2615"/>
      <c r="EY12" s="2615"/>
      <c r="EZ12" s="2615"/>
      <c r="FA12" s="2615"/>
      <c r="FB12" s="2615"/>
      <c r="FC12" s="2615"/>
      <c r="FD12" s="2615"/>
      <c r="FE12" s="2615"/>
      <c r="FF12" s="2615"/>
      <c r="FG12" s="2615"/>
      <c r="FH12" s="2615"/>
      <c r="FI12" s="2615"/>
      <c r="FJ12" s="2615"/>
      <c r="FK12" s="2615"/>
      <c r="FL12" s="2615"/>
      <c r="FM12" s="2615"/>
      <c r="FN12" s="2615"/>
      <c r="FO12" s="2615"/>
      <c r="FP12" s="2615"/>
      <c r="FQ12" s="2615"/>
      <c r="FR12" s="2615"/>
      <c r="FS12" s="2615"/>
      <c r="FT12" s="2615"/>
      <c r="FU12" s="2615"/>
      <c r="FV12" s="2615"/>
      <c r="FW12" s="2620"/>
      <c r="FX12" s="697"/>
      <c r="GC12" s="856">
        <v>12</v>
      </c>
    </row>
    <row r="13" spans="2:185" ht="37.9" customHeight="1">
      <c r="D13" s="868"/>
      <c r="E13" s="867"/>
      <c r="F13" s="2425"/>
      <c r="G13" s="2425"/>
      <c r="H13" s="2425"/>
      <c r="I13" s="2425"/>
      <c r="J13" s="2632"/>
      <c r="K13" s="2632"/>
      <c r="L13" s="2632"/>
      <c r="M13" s="2632"/>
      <c r="N13" s="2632"/>
      <c r="O13" s="2429" t="s">
        <v>1094</v>
      </c>
      <c r="P13" s="2429"/>
      <c r="Q13" s="2429"/>
      <c r="R13" s="2429"/>
      <c r="S13" s="2543" t="s">
        <v>1095</v>
      </c>
      <c r="T13" s="2584"/>
      <c r="U13" s="2332" t="s">
        <v>1096</v>
      </c>
      <c r="V13" s="2332"/>
      <c r="W13" s="2332"/>
      <c r="X13" s="2332"/>
      <c r="Y13" s="2332" t="s">
        <v>1097</v>
      </c>
      <c r="Z13" s="2332"/>
      <c r="AA13" s="2332"/>
      <c r="AB13" s="2332"/>
      <c r="AC13" s="2615"/>
      <c r="AD13" s="2615"/>
      <c r="AE13" s="2615"/>
      <c r="AF13" s="2615"/>
      <c r="AG13" s="2615"/>
      <c r="AH13" s="2615"/>
      <c r="AI13" s="2615"/>
      <c r="AJ13" s="2615"/>
      <c r="AK13" s="2615"/>
      <c r="AL13" s="2615"/>
      <c r="AM13" s="2615"/>
      <c r="AN13" s="2615"/>
      <c r="AO13" s="2615"/>
      <c r="AP13" s="2615"/>
      <c r="AQ13" s="2615"/>
      <c r="AR13" s="2615"/>
      <c r="AS13" s="2615"/>
      <c r="AT13" s="2615"/>
      <c r="AU13" s="2615"/>
      <c r="AV13" s="2615"/>
      <c r="AW13" s="2615"/>
      <c r="AX13" s="2615"/>
      <c r="AY13" s="2615"/>
      <c r="AZ13" s="2615"/>
      <c r="BA13" s="2615"/>
      <c r="BB13" s="2615"/>
      <c r="BC13" s="2615"/>
      <c r="BD13" s="2615"/>
      <c r="BE13" s="2615"/>
      <c r="BF13" s="2615"/>
      <c r="BG13" s="2615"/>
      <c r="BH13" s="2615"/>
      <c r="BI13" s="2615"/>
      <c r="BJ13" s="2615"/>
      <c r="BK13" s="2615"/>
      <c r="BL13" s="2615"/>
      <c r="BM13" s="2615"/>
      <c r="BN13" s="2615"/>
      <c r="BO13" s="2615"/>
      <c r="BP13" s="2615"/>
      <c r="BQ13" s="2615"/>
      <c r="BR13" s="2615"/>
      <c r="BS13" s="2616"/>
      <c r="BT13" s="2543" t="s">
        <v>1098</v>
      </c>
      <c r="BU13" s="2584"/>
      <c r="BV13" s="2543" t="s">
        <v>1099</v>
      </c>
      <c r="BW13" s="2584"/>
      <c r="BX13" s="2543" t="s">
        <v>1100</v>
      </c>
      <c r="BY13" s="2584"/>
      <c r="BZ13" s="2543" t="s">
        <v>1101</v>
      </c>
      <c r="CA13" s="2584"/>
      <c r="CB13" s="2543" t="s">
        <v>1102</v>
      </c>
      <c r="CC13" s="2584"/>
      <c r="CD13" s="2543" t="s">
        <v>1103</v>
      </c>
      <c r="CE13" s="2584"/>
      <c r="CF13" s="2543" t="s">
        <v>1104</v>
      </c>
      <c r="CG13" s="2584"/>
      <c r="CH13" s="2582" t="s">
        <v>1105</v>
      </c>
      <c r="CI13" s="2583"/>
      <c r="CJ13" s="2583"/>
      <c r="CK13" s="2614"/>
      <c r="CL13" s="2622"/>
      <c r="CM13" s="2615"/>
      <c r="CN13" s="2615"/>
      <c r="CO13" s="2615"/>
      <c r="CP13" s="2615"/>
      <c r="CQ13" s="2615"/>
      <c r="CR13" s="2615"/>
      <c r="CS13" s="2615"/>
      <c r="CT13" s="2615"/>
      <c r="CU13" s="2615"/>
      <c r="CV13" s="2615"/>
      <c r="CW13" s="2615"/>
      <c r="CX13" s="2616"/>
      <c r="CY13" s="2543" t="s">
        <v>1106</v>
      </c>
      <c r="CZ13" s="2584"/>
      <c r="DA13" s="2543" t="s">
        <v>1107</v>
      </c>
      <c r="DB13" s="2584"/>
      <c r="DC13" s="2543" t="s">
        <v>1108</v>
      </c>
      <c r="DD13" s="2584"/>
      <c r="DE13" s="2543" t="s">
        <v>1109</v>
      </c>
      <c r="DF13" s="2584"/>
      <c r="DG13" s="2582" t="s">
        <v>1110</v>
      </c>
      <c r="DH13" s="2583"/>
      <c r="DI13" s="2583"/>
      <c r="DJ13" s="2614"/>
      <c r="DK13" s="2622"/>
      <c r="DL13" s="2615"/>
      <c r="DM13" s="2615"/>
      <c r="DN13" s="2615"/>
      <c r="DO13" s="2615"/>
      <c r="DP13" s="2615"/>
      <c r="DQ13" s="2615"/>
      <c r="DR13" s="2615"/>
      <c r="DS13" s="2615"/>
      <c r="DT13" s="2615"/>
      <c r="DU13" s="2615"/>
      <c r="DV13" s="2615"/>
      <c r="DW13" s="2615"/>
      <c r="DX13" s="2615"/>
      <c r="DY13" s="2615"/>
      <c r="DZ13" s="2615"/>
      <c r="EA13" s="2615"/>
      <c r="EB13" s="2615"/>
      <c r="EC13" s="2615"/>
      <c r="ED13" s="2615"/>
      <c r="EE13" s="2615"/>
      <c r="EF13" s="2615"/>
      <c r="EG13" s="2615"/>
      <c r="EH13" s="2615"/>
      <c r="EI13" s="2615"/>
      <c r="EJ13" s="2615"/>
      <c r="EK13" s="2615"/>
      <c r="EL13" s="2615"/>
      <c r="EM13" s="2615"/>
      <c r="EN13" s="2615"/>
      <c r="EO13" s="2615"/>
      <c r="EP13" s="2615"/>
      <c r="EQ13" s="2615"/>
      <c r="ER13" s="2615"/>
      <c r="ES13" s="2615"/>
      <c r="ET13" s="2615"/>
      <c r="EU13" s="2615"/>
      <c r="EV13" s="2615"/>
      <c r="EW13" s="2615"/>
      <c r="EX13" s="2615"/>
      <c r="EY13" s="2615"/>
      <c r="EZ13" s="2615"/>
      <c r="FA13" s="2615"/>
      <c r="FB13" s="2615"/>
      <c r="FC13" s="2615"/>
      <c r="FD13" s="2615"/>
      <c r="FE13" s="2615"/>
      <c r="FF13" s="2615"/>
      <c r="FG13" s="2615"/>
      <c r="FH13" s="2615"/>
      <c r="FI13" s="2615"/>
      <c r="FJ13" s="2615"/>
      <c r="FK13" s="2615"/>
      <c r="FL13" s="2615"/>
      <c r="FM13" s="2615"/>
      <c r="FN13" s="2615"/>
      <c r="FO13" s="2615"/>
      <c r="FP13" s="2615"/>
      <c r="FQ13" s="2615"/>
      <c r="FR13" s="2615"/>
      <c r="FS13" s="2615"/>
      <c r="FT13" s="2615"/>
      <c r="FU13" s="2615"/>
      <c r="FV13" s="2615"/>
      <c r="FW13" s="2620"/>
      <c r="FX13" s="697"/>
      <c r="GC13" s="856">
        <v>36</v>
      </c>
    </row>
    <row r="14" spans="2:185" ht="37.9" customHeight="1">
      <c r="D14" s="868"/>
      <c r="E14" s="867"/>
      <c r="F14" s="2425"/>
      <c r="G14" s="2425"/>
      <c r="H14" s="2425"/>
      <c r="I14" s="2425"/>
      <c r="J14" s="2632"/>
      <c r="K14" s="2632"/>
      <c r="L14" s="2632"/>
      <c r="M14" s="2632"/>
      <c r="N14" s="2632"/>
      <c r="O14" s="2543" t="s">
        <v>1111</v>
      </c>
      <c r="P14" s="2584"/>
      <c r="Q14" s="2543" t="s">
        <v>1112</v>
      </c>
      <c r="R14" s="2584"/>
      <c r="S14" s="2544"/>
      <c r="T14" s="2433"/>
      <c r="U14" s="2543" t="s">
        <v>844</v>
      </c>
      <c r="V14" s="2584"/>
      <c r="W14" s="2543" t="s">
        <v>847</v>
      </c>
      <c r="X14" s="2584"/>
      <c r="Y14" s="2543" t="s">
        <v>844</v>
      </c>
      <c r="Z14" s="2584"/>
      <c r="AA14" s="2543" t="s">
        <v>854</v>
      </c>
      <c r="AB14" s="2584"/>
      <c r="AC14" s="2615"/>
      <c r="AD14" s="2615"/>
      <c r="AE14" s="2615"/>
      <c r="AF14" s="2615"/>
      <c r="AG14" s="2615"/>
      <c r="AH14" s="2615"/>
      <c r="AI14" s="2615"/>
      <c r="AJ14" s="2615"/>
      <c r="AK14" s="2615"/>
      <c r="AL14" s="2615"/>
      <c r="AM14" s="2615"/>
      <c r="AN14" s="2615"/>
      <c r="AO14" s="2615"/>
      <c r="AP14" s="2615"/>
      <c r="AQ14" s="2615"/>
      <c r="AR14" s="2615"/>
      <c r="AS14" s="2615"/>
      <c r="AT14" s="2615"/>
      <c r="AU14" s="2615"/>
      <c r="AV14" s="2615"/>
      <c r="AW14" s="2615"/>
      <c r="AX14" s="2615"/>
      <c r="AY14" s="2615"/>
      <c r="AZ14" s="2615"/>
      <c r="BA14" s="2615"/>
      <c r="BB14" s="2615"/>
      <c r="BC14" s="2615"/>
      <c r="BD14" s="2615"/>
      <c r="BE14" s="2615"/>
      <c r="BF14" s="2615"/>
      <c r="BG14" s="2615"/>
      <c r="BH14" s="2615"/>
      <c r="BI14" s="2615"/>
      <c r="BJ14" s="2615"/>
      <c r="BK14" s="2615"/>
      <c r="BL14" s="2615"/>
      <c r="BM14" s="2615"/>
      <c r="BN14" s="2615"/>
      <c r="BO14" s="2615"/>
      <c r="BP14" s="2615"/>
      <c r="BQ14" s="2615"/>
      <c r="BR14" s="2615"/>
      <c r="BS14" s="2616"/>
      <c r="BT14" s="2544"/>
      <c r="BU14" s="2433"/>
      <c r="BV14" s="2544"/>
      <c r="BW14" s="2433"/>
      <c r="BX14" s="2544"/>
      <c r="BY14" s="2433"/>
      <c r="BZ14" s="2544"/>
      <c r="CA14" s="2433"/>
      <c r="CB14" s="2544"/>
      <c r="CC14" s="2433"/>
      <c r="CD14" s="2544"/>
      <c r="CE14" s="2433"/>
      <c r="CF14" s="2544"/>
      <c r="CG14" s="2433"/>
      <c r="CH14" s="2543" t="s">
        <v>1113</v>
      </c>
      <c r="CI14" s="2584"/>
      <c r="CJ14" s="2543" t="s">
        <v>1114</v>
      </c>
      <c r="CK14" s="2584"/>
      <c r="CL14" s="2622"/>
      <c r="CM14" s="2615"/>
      <c r="CN14" s="2615"/>
      <c r="CO14" s="2615"/>
      <c r="CP14" s="2615"/>
      <c r="CQ14" s="2615"/>
      <c r="CR14" s="2615"/>
      <c r="CS14" s="2615"/>
      <c r="CT14" s="2615"/>
      <c r="CU14" s="2615"/>
      <c r="CV14" s="2615"/>
      <c r="CW14" s="2615"/>
      <c r="CX14" s="2616"/>
      <c r="CY14" s="2544"/>
      <c r="CZ14" s="2433"/>
      <c r="DA14" s="2544"/>
      <c r="DB14" s="2433"/>
      <c r="DC14" s="2544"/>
      <c r="DD14" s="2433"/>
      <c r="DE14" s="2544"/>
      <c r="DF14" s="2433"/>
      <c r="DG14" s="2543" t="s">
        <v>1115</v>
      </c>
      <c r="DH14" s="2584"/>
      <c r="DI14" s="2543" t="s">
        <v>1116</v>
      </c>
      <c r="DJ14" s="2584"/>
      <c r="DK14" s="2622"/>
      <c r="DL14" s="2615"/>
      <c r="DM14" s="2615"/>
      <c r="DN14" s="2615"/>
      <c r="DO14" s="2615"/>
      <c r="DP14" s="2615"/>
      <c r="DQ14" s="2615"/>
      <c r="DR14" s="2615"/>
      <c r="DS14" s="2615"/>
      <c r="DT14" s="2615"/>
      <c r="DU14" s="2615"/>
      <c r="DV14" s="2615"/>
      <c r="DW14" s="2615"/>
      <c r="DX14" s="2615"/>
      <c r="DY14" s="2615"/>
      <c r="DZ14" s="2615"/>
      <c r="EA14" s="2615"/>
      <c r="EB14" s="2615"/>
      <c r="EC14" s="2615"/>
      <c r="ED14" s="2615"/>
      <c r="EE14" s="2615"/>
      <c r="EF14" s="2615"/>
      <c r="EG14" s="2615"/>
      <c r="EH14" s="2615"/>
      <c r="EI14" s="2615"/>
      <c r="EJ14" s="2615"/>
      <c r="EK14" s="2615"/>
      <c r="EL14" s="2615"/>
      <c r="EM14" s="2615"/>
      <c r="EN14" s="2615"/>
      <c r="EO14" s="2615"/>
      <c r="EP14" s="2615"/>
      <c r="EQ14" s="2615"/>
      <c r="ER14" s="2615"/>
      <c r="ES14" s="2615"/>
      <c r="ET14" s="2615"/>
      <c r="EU14" s="2615"/>
      <c r="EV14" s="2615"/>
      <c r="EW14" s="2615"/>
      <c r="EX14" s="2615"/>
      <c r="EY14" s="2615"/>
      <c r="EZ14" s="2615"/>
      <c r="FA14" s="2615"/>
      <c r="FB14" s="2615"/>
      <c r="FC14" s="2615"/>
      <c r="FD14" s="2615"/>
      <c r="FE14" s="2615"/>
      <c r="FF14" s="2615"/>
      <c r="FG14" s="2615"/>
      <c r="FH14" s="2615"/>
      <c r="FI14" s="2615"/>
      <c r="FJ14" s="2615"/>
      <c r="FK14" s="2615"/>
      <c r="FL14" s="2615"/>
      <c r="FM14" s="2615"/>
      <c r="FN14" s="2615"/>
      <c r="FO14" s="2615"/>
      <c r="FP14" s="2615"/>
      <c r="FQ14" s="2615"/>
      <c r="FR14" s="2615"/>
      <c r="FS14" s="2615"/>
      <c r="FT14" s="2615"/>
      <c r="FU14" s="2615"/>
      <c r="FV14" s="2615"/>
      <c r="FW14" s="2620"/>
      <c r="FX14" s="697"/>
      <c r="GC14" s="856">
        <v>36</v>
      </c>
    </row>
    <row r="15" spans="2:185" ht="37.9" customHeight="1">
      <c r="D15" s="868"/>
      <c r="E15" s="867"/>
      <c r="F15" s="2425"/>
      <c r="G15" s="2425"/>
      <c r="H15" s="2425"/>
      <c r="I15" s="2425"/>
      <c r="J15" s="2632"/>
      <c r="K15" s="2632"/>
      <c r="L15" s="2632"/>
      <c r="M15" s="2632"/>
      <c r="N15" s="2632"/>
      <c r="O15" s="2545"/>
      <c r="P15" s="2601"/>
      <c r="Q15" s="2545"/>
      <c r="R15" s="2601"/>
      <c r="S15" s="2545"/>
      <c r="T15" s="2601"/>
      <c r="U15" s="2545"/>
      <c r="V15" s="2601"/>
      <c r="W15" s="2545"/>
      <c r="X15" s="2601"/>
      <c r="Y15" s="2545"/>
      <c r="Z15" s="2601"/>
      <c r="AA15" s="2545"/>
      <c r="AB15" s="2601"/>
      <c r="AC15" s="2615"/>
      <c r="AD15" s="2615"/>
      <c r="AE15" s="2615"/>
      <c r="AF15" s="2615"/>
      <c r="AG15" s="2615"/>
      <c r="AH15" s="2615"/>
      <c r="AI15" s="2615"/>
      <c r="AJ15" s="2615"/>
      <c r="AK15" s="2615"/>
      <c r="AL15" s="2615"/>
      <c r="AM15" s="2615"/>
      <c r="AN15" s="2615"/>
      <c r="AO15" s="2615"/>
      <c r="AP15" s="2615"/>
      <c r="AQ15" s="2615"/>
      <c r="AR15" s="2615"/>
      <c r="AS15" s="2615"/>
      <c r="AT15" s="2615"/>
      <c r="AU15" s="2615"/>
      <c r="AV15" s="2615"/>
      <c r="AW15" s="2615"/>
      <c r="AX15" s="2615"/>
      <c r="AY15" s="2615"/>
      <c r="AZ15" s="2615"/>
      <c r="BA15" s="2615"/>
      <c r="BB15" s="2615"/>
      <c r="BC15" s="2615"/>
      <c r="BD15" s="2615"/>
      <c r="BE15" s="2615"/>
      <c r="BF15" s="2615"/>
      <c r="BG15" s="2615"/>
      <c r="BH15" s="2615"/>
      <c r="BI15" s="2615"/>
      <c r="BJ15" s="2615"/>
      <c r="BK15" s="2615"/>
      <c r="BL15" s="2615"/>
      <c r="BM15" s="2615"/>
      <c r="BN15" s="2615"/>
      <c r="BO15" s="2615"/>
      <c r="BP15" s="2615"/>
      <c r="BQ15" s="2615"/>
      <c r="BR15" s="2615"/>
      <c r="BS15" s="2616"/>
      <c r="BT15" s="2545"/>
      <c r="BU15" s="2601"/>
      <c r="BV15" s="2545"/>
      <c r="BW15" s="2601"/>
      <c r="BX15" s="2545"/>
      <c r="BY15" s="2601"/>
      <c r="BZ15" s="2545"/>
      <c r="CA15" s="2601"/>
      <c r="CB15" s="2545"/>
      <c r="CC15" s="2601"/>
      <c r="CD15" s="2545"/>
      <c r="CE15" s="2601"/>
      <c r="CF15" s="2545"/>
      <c r="CG15" s="2601"/>
      <c r="CH15" s="2545"/>
      <c r="CI15" s="2601"/>
      <c r="CJ15" s="2545"/>
      <c r="CK15" s="2601"/>
      <c r="CL15" s="2622"/>
      <c r="CM15" s="2615"/>
      <c r="CN15" s="2615"/>
      <c r="CO15" s="2615"/>
      <c r="CP15" s="2615"/>
      <c r="CQ15" s="2615"/>
      <c r="CR15" s="2615"/>
      <c r="CS15" s="2615"/>
      <c r="CT15" s="2615"/>
      <c r="CU15" s="2615"/>
      <c r="CV15" s="2615"/>
      <c r="CW15" s="2615"/>
      <c r="CX15" s="2616"/>
      <c r="CY15" s="2545"/>
      <c r="CZ15" s="2601"/>
      <c r="DA15" s="2545"/>
      <c r="DB15" s="2601"/>
      <c r="DC15" s="2545"/>
      <c r="DD15" s="2601"/>
      <c r="DE15" s="2545"/>
      <c r="DF15" s="2601"/>
      <c r="DG15" s="2545"/>
      <c r="DH15" s="2601"/>
      <c r="DI15" s="2545"/>
      <c r="DJ15" s="2601"/>
      <c r="DK15" s="2622"/>
      <c r="DL15" s="2615"/>
      <c r="DM15" s="2615"/>
      <c r="DN15" s="2615"/>
      <c r="DO15" s="2615"/>
      <c r="DP15" s="2615"/>
      <c r="DQ15" s="2615"/>
      <c r="DR15" s="2615"/>
      <c r="DS15" s="2615"/>
      <c r="DT15" s="2615"/>
      <c r="DU15" s="2615"/>
      <c r="DV15" s="2615"/>
      <c r="DW15" s="2615"/>
      <c r="DX15" s="2615"/>
      <c r="DY15" s="2615"/>
      <c r="DZ15" s="2615"/>
      <c r="EA15" s="2615"/>
      <c r="EB15" s="2615"/>
      <c r="EC15" s="2615"/>
      <c r="ED15" s="2615"/>
      <c r="EE15" s="2615"/>
      <c r="EF15" s="2615"/>
      <c r="EG15" s="2615"/>
      <c r="EH15" s="2615"/>
      <c r="EI15" s="2615"/>
      <c r="EJ15" s="2615"/>
      <c r="EK15" s="2615"/>
      <c r="EL15" s="2615"/>
      <c r="EM15" s="2615"/>
      <c r="EN15" s="2615"/>
      <c r="EO15" s="2615"/>
      <c r="EP15" s="2615"/>
      <c r="EQ15" s="2615"/>
      <c r="ER15" s="2615"/>
      <c r="ES15" s="2615"/>
      <c r="ET15" s="2615"/>
      <c r="EU15" s="2615"/>
      <c r="EV15" s="2615"/>
      <c r="EW15" s="2615"/>
      <c r="EX15" s="2615"/>
      <c r="EY15" s="2615"/>
      <c r="EZ15" s="2615"/>
      <c r="FA15" s="2615"/>
      <c r="FB15" s="2615"/>
      <c r="FC15" s="2615"/>
      <c r="FD15" s="2615"/>
      <c r="FE15" s="2615"/>
      <c r="FF15" s="2615"/>
      <c r="FG15" s="2615"/>
      <c r="FH15" s="2615"/>
      <c r="FI15" s="2615"/>
      <c r="FJ15" s="2615"/>
      <c r="FK15" s="2615"/>
      <c r="FL15" s="2615"/>
      <c r="FM15" s="2615"/>
      <c r="FN15" s="2615"/>
      <c r="FO15" s="2615"/>
      <c r="FP15" s="2615"/>
      <c r="FQ15" s="2615"/>
      <c r="FR15" s="2615"/>
      <c r="FS15" s="2615"/>
      <c r="FT15" s="2615"/>
      <c r="FU15" s="2615"/>
      <c r="FV15" s="2615"/>
      <c r="FW15" s="2620"/>
      <c r="FX15" s="697"/>
      <c r="GC15" s="856">
        <v>36</v>
      </c>
    </row>
    <row r="16" spans="2:185" ht="12.75" customHeight="1">
      <c r="D16" s="868"/>
      <c r="E16" s="867"/>
      <c r="F16" s="2425"/>
      <c r="G16" s="2425"/>
      <c r="H16" s="2425"/>
      <c r="I16" s="2425"/>
      <c r="J16" s="2632"/>
      <c r="K16" s="2632"/>
      <c r="L16" s="2632"/>
      <c r="M16" s="2632"/>
      <c r="N16" s="2632"/>
      <c r="O16" s="2582" t="s">
        <v>834</v>
      </c>
      <c r="P16" s="2614"/>
      <c r="Q16" s="2582" t="s">
        <v>836</v>
      </c>
      <c r="R16" s="2614"/>
      <c r="S16" s="2582" t="s">
        <v>840</v>
      </c>
      <c r="T16" s="2614"/>
      <c r="U16" s="2582" t="s">
        <v>845</v>
      </c>
      <c r="V16" s="2614"/>
      <c r="W16" s="2582" t="s">
        <v>848</v>
      </c>
      <c r="X16" s="2614"/>
      <c r="Y16" s="2582" t="s">
        <v>852</v>
      </c>
      <c r="Z16" s="2614"/>
      <c r="AA16" s="2582" t="s">
        <v>855</v>
      </c>
      <c r="AB16" s="2614"/>
      <c r="AC16" s="2615"/>
      <c r="AD16" s="2615"/>
      <c r="AE16" s="2615"/>
      <c r="AF16" s="2615"/>
      <c r="AG16" s="2615"/>
      <c r="AH16" s="2615"/>
      <c r="AI16" s="2615"/>
      <c r="AJ16" s="2615"/>
      <c r="AK16" s="2615"/>
      <c r="AL16" s="2615"/>
      <c r="AM16" s="2615"/>
      <c r="AN16" s="2615"/>
      <c r="AO16" s="2615"/>
      <c r="AP16" s="2615"/>
      <c r="AQ16" s="2615"/>
      <c r="AR16" s="2615"/>
      <c r="AS16" s="2615"/>
      <c r="AT16" s="2615"/>
      <c r="AU16" s="2615"/>
      <c r="AV16" s="2615"/>
      <c r="AW16" s="2615"/>
      <c r="AX16" s="2615"/>
      <c r="AY16" s="2615"/>
      <c r="AZ16" s="2615"/>
      <c r="BA16" s="2615"/>
      <c r="BB16" s="2615"/>
      <c r="BC16" s="2615"/>
      <c r="BD16" s="2615"/>
      <c r="BE16" s="2615"/>
      <c r="BF16" s="2615"/>
      <c r="BG16" s="2615"/>
      <c r="BH16" s="2615"/>
      <c r="BI16" s="2615"/>
      <c r="BJ16" s="2615"/>
      <c r="BK16" s="2615"/>
      <c r="BL16" s="2615"/>
      <c r="BM16" s="2615"/>
      <c r="BN16" s="2615"/>
      <c r="BO16" s="2615"/>
      <c r="BP16" s="2615"/>
      <c r="BQ16" s="2615"/>
      <c r="BR16" s="2615"/>
      <c r="BS16" s="2616"/>
      <c r="BT16" s="2582" t="s">
        <v>567</v>
      </c>
      <c r="BU16" s="2614"/>
      <c r="BV16" s="2582" t="s">
        <v>567</v>
      </c>
      <c r="BW16" s="2614"/>
      <c r="BX16" s="2582" t="s">
        <v>567</v>
      </c>
      <c r="BY16" s="2614"/>
      <c r="BZ16" s="2582" t="s">
        <v>567</v>
      </c>
      <c r="CA16" s="2614"/>
      <c r="CB16" s="2582" t="s">
        <v>1117</v>
      </c>
      <c r="CC16" s="2614"/>
      <c r="CD16" s="2582" t="s">
        <v>567</v>
      </c>
      <c r="CE16" s="2614"/>
      <c r="CF16" s="2582" t="s">
        <v>1118</v>
      </c>
      <c r="CG16" s="2614"/>
      <c r="CH16" s="2582" t="s">
        <v>1119</v>
      </c>
      <c r="CI16" s="2614"/>
      <c r="CJ16" s="2582" t="s">
        <v>1119</v>
      </c>
      <c r="CK16" s="2614"/>
      <c r="CL16" s="2622"/>
      <c r="CM16" s="2615"/>
      <c r="CN16" s="2615"/>
      <c r="CO16" s="2615"/>
      <c r="CP16" s="2615"/>
      <c r="CQ16" s="2615"/>
      <c r="CR16" s="2615"/>
      <c r="CS16" s="2615"/>
      <c r="CT16" s="2615"/>
      <c r="CU16" s="2615"/>
      <c r="CV16" s="2615"/>
      <c r="CW16" s="2615"/>
      <c r="CX16" s="2616"/>
      <c r="CY16" s="2543" t="s">
        <v>567</v>
      </c>
      <c r="CZ16" s="2584"/>
      <c r="DA16" s="2543" t="s">
        <v>567</v>
      </c>
      <c r="DB16" s="2584"/>
      <c r="DC16" s="2543" t="s">
        <v>567</v>
      </c>
      <c r="DD16" s="2584"/>
      <c r="DE16" s="2582" t="s">
        <v>1117</v>
      </c>
      <c r="DF16" s="2614"/>
      <c r="DG16" s="2582" t="s">
        <v>1120</v>
      </c>
      <c r="DH16" s="2614"/>
      <c r="DI16" s="2582" t="s">
        <v>1120</v>
      </c>
      <c r="DJ16" s="2614"/>
      <c r="DK16" s="2622"/>
      <c r="DL16" s="2615"/>
      <c r="DM16" s="2615"/>
      <c r="DN16" s="2615"/>
      <c r="DO16" s="2615"/>
      <c r="DP16" s="2615"/>
      <c r="DQ16" s="2615"/>
      <c r="DR16" s="2615"/>
      <c r="DS16" s="2615"/>
      <c r="DT16" s="2615"/>
      <c r="DU16" s="2615"/>
      <c r="DV16" s="2615"/>
      <c r="DW16" s="2615"/>
      <c r="DX16" s="2615"/>
      <c r="DY16" s="2615"/>
      <c r="DZ16" s="2615"/>
      <c r="EA16" s="2615"/>
      <c r="EB16" s="2615"/>
      <c r="EC16" s="2615"/>
      <c r="ED16" s="2615"/>
      <c r="EE16" s="2615"/>
      <c r="EF16" s="2615"/>
      <c r="EG16" s="2615"/>
      <c r="EH16" s="2615"/>
      <c r="EI16" s="2615"/>
      <c r="EJ16" s="2615"/>
      <c r="EK16" s="2615"/>
      <c r="EL16" s="2615"/>
      <c r="EM16" s="2615"/>
      <c r="EN16" s="2615"/>
      <c r="EO16" s="2615"/>
      <c r="EP16" s="2615"/>
      <c r="EQ16" s="2615"/>
      <c r="ER16" s="2615"/>
      <c r="ES16" s="2615"/>
      <c r="ET16" s="2615"/>
      <c r="EU16" s="2615"/>
      <c r="EV16" s="2615"/>
      <c r="EW16" s="2615"/>
      <c r="EX16" s="2615"/>
      <c r="EY16" s="2615"/>
      <c r="EZ16" s="2615"/>
      <c r="FA16" s="2615"/>
      <c r="FB16" s="2615"/>
      <c r="FC16" s="2615"/>
      <c r="FD16" s="2615"/>
      <c r="FE16" s="2615"/>
      <c r="FF16" s="2615"/>
      <c r="FG16" s="2615"/>
      <c r="FH16" s="2615"/>
      <c r="FI16" s="2615"/>
      <c r="FJ16" s="2615"/>
      <c r="FK16" s="2615"/>
      <c r="FL16" s="2615"/>
      <c r="FM16" s="2615"/>
      <c r="FN16" s="2615"/>
      <c r="FO16" s="2615"/>
      <c r="FP16" s="2615"/>
      <c r="FQ16" s="2615"/>
      <c r="FR16" s="2615"/>
      <c r="FS16" s="2615"/>
      <c r="FT16" s="2615"/>
      <c r="FU16" s="2615"/>
      <c r="FV16" s="2615"/>
      <c r="FW16" s="2620"/>
      <c r="FX16" s="697"/>
      <c r="GC16" s="856">
        <v>12</v>
      </c>
    </row>
    <row r="17" spans="1:185" ht="15.75" customHeight="1">
      <c r="E17" s="867"/>
      <c r="F17" s="2425"/>
      <c r="G17" s="2425"/>
      <c r="H17" s="2425"/>
      <c r="I17" s="2425"/>
      <c r="J17" s="2632"/>
      <c r="K17" s="2632"/>
      <c r="L17" s="2632"/>
      <c r="M17" s="2632"/>
      <c r="N17" s="2632"/>
      <c r="O17" s="1118" t="s">
        <v>1121</v>
      </c>
      <c r="P17" s="1118" t="s">
        <v>1122</v>
      </c>
      <c r="Q17" s="1118" t="s">
        <v>1121</v>
      </c>
      <c r="R17" s="1118" t="s">
        <v>1122</v>
      </c>
      <c r="S17" s="1118" t="s">
        <v>1121</v>
      </c>
      <c r="T17" s="1118" t="s">
        <v>1122</v>
      </c>
      <c r="U17" s="1118" t="s">
        <v>1121</v>
      </c>
      <c r="V17" s="1118" t="s">
        <v>1122</v>
      </c>
      <c r="W17" s="1118" t="s">
        <v>1121</v>
      </c>
      <c r="X17" s="1118" t="s">
        <v>1122</v>
      </c>
      <c r="Y17" s="1118" t="s">
        <v>1121</v>
      </c>
      <c r="Z17" s="1118" t="s">
        <v>1122</v>
      </c>
      <c r="AA17" s="1118" t="s">
        <v>1121</v>
      </c>
      <c r="AB17" s="1118" t="s">
        <v>1122</v>
      </c>
      <c r="AC17" s="2615"/>
      <c r="AD17" s="2615"/>
      <c r="AE17" s="2615"/>
      <c r="AF17" s="2615"/>
      <c r="AG17" s="2615"/>
      <c r="AH17" s="2615"/>
      <c r="AI17" s="2615"/>
      <c r="AJ17" s="2615"/>
      <c r="AK17" s="2615"/>
      <c r="AL17" s="2615"/>
      <c r="AM17" s="2615"/>
      <c r="AN17" s="2615"/>
      <c r="AO17" s="2615"/>
      <c r="AP17" s="2615"/>
      <c r="AQ17" s="2615"/>
      <c r="AR17" s="2615"/>
      <c r="AS17" s="2615"/>
      <c r="AT17" s="2615"/>
      <c r="AU17" s="2615"/>
      <c r="AV17" s="2615"/>
      <c r="AW17" s="2615"/>
      <c r="AX17" s="2615"/>
      <c r="AY17" s="2615"/>
      <c r="AZ17" s="2615"/>
      <c r="BA17" s="2615"/>
      <c r="BB17" s="2615"/>
      <c r="BC17" s="2615"/>
      <c r="BD17" s="2615"/>
      <c r="BE17" s="2615"/>
      <c r="BF17" s="2615"/>
      <c r="BG17" s="2615"/>
      <c r="BH17" s="2615"/>
      <c r="BI17" s="2615"/>
      <c r="BJ17" s="2615"/>
      <c r="BK17" s="2615"/>
      <c r="BL17" s="2615"/>
      <c r="BM17" s="2615"/>
      <c r="BN17" s="2615"/>
      <c r="BO17" s="2615"/>
      <c r="BP17" s="2615"/>
      <c r="BQ17" s="2615"/>
      <c r="BR17" s="2615"/>
      <c r="BS17" s="2616"/>
      <c r="BT17" s="1118" t="s">
        <v>1121</v>
      </c>
      <c r="BU17" s="1118" t="s">
        <v>1122</v>
      </c>
      <c r="BV17" s="1118" t="s">
        <v>1121</v>
      </c>
      <c r="BW17" s="1118" t="s">
        <v>1122</v>
      </c>
      <c r="BX17" s="1118" t="s">
        <v>1121</v>
      </c>
      <c r="BY17" s="1118" t="s">
        <v>1122</v>
      </c>
      <c r="BZ17" s="1118" t="s">
        <v>1121</v>
      </c>
      <c r="CA17" s="1118" t="s">
        <v>1122</v>
      </c>
      <c r="CB17" s="1118" t="s">
        <v>1121</v>
      </c>
      <c r="CC17" s="1118" t="s">
        <v>1122</v>
      </c>
      <c r="CD17" s="1118" t="s">
        <v>1121</v>
      </c>
      <c r="CE17" s="1118" t="s">
        <v>1122</v>
      </c>
      <c r="CF17" s="1118" t="s">
        <v>1121</v>
      </c>
      <c r="CG17" s="1118" t="s">
        <v>1122</v>
      </c>
      <c r="CH17" s="1118" t="s">
        <v>1121</v>
      </c>
      <c r="CI17" s="1118" t="s">
        <v>1122</v>
      </c>
      <c r="CJ17" s="1118" t="s">
        <v>1121</v>
      </c>
      <c r="CK17" s="1118" t="s">
        <v>1122</v>
      </c>
      <c r="CL17" s="2622"/>
      <c r="CM17" s="2615"/>
      <c r="CN17" s="2615"/>
      <c r="CO17" s="2615"/>
      <c r="CP17" s="2615"/>
      <c r="CQ17" s="2615"/>
      <c r="CR17" s="2615"/>
      <c r="CS17" s="2615"/>
      <c r="CT17" s="2615"/>
      <c r="CU17" s="2615"/>
      <c r="CV17" s="2615"/>
      <c r="CW17" s="2615"/>
      <c r="CX17" s="2616"/>
      <c r="CY17" s="1118" t="s">
        <v>1121</v>
      </c>
      <c r="CZ17" s="1118" t="s">
        <v>1122</v>
      </c>
      <c r="DA17" s="1118" t="s">
        <v>1121</v>
      </c>
      <c r="DB17" s="1118" t="s">
        <v>1122</v>
      </c>
      <c r="DC17" s="1118" t="s">
        <v>1121</v>
      </c>
      <c r="DD17" s="1118" t="s">
        <v>1122</v>
      </c>
      <c r="DE17" s="1118" t="s">
        <v>1121</v>
      </c>
      <c r="DF17" s="1118" t="s">
        <v>1122</v>
      </c>
      <c r="DG17" s="1118" t="s">
        <v>1121</v>
      </c>
      <c r="DH17" s="1118" t="s">
        <v>1122</v>
      </c>
      <c r="DI17" s="1118" t="s">
        <v>1121</v>
      </c>
      <c r="DJ17" s="1118" t="s">
        <v>1122</v>
      </c>
      <c r="DK17" s="2622"/>
      <c r="DL17" s="2615"/>
      <c r="DM17" s="2615"/>
      <c r="DN17" s="2615"/>
      <c r="DO17" s="2615"/>
      <c r="DP17" s="2615"/>
      <c r="DQ17" s="2615"/>
      <c r="DR17" s="2615"/>
      <c r="DS17" s="2615"/>
      <c r="DT17" s="2615"/>
      <c r="DU17" s="2615"/>
      <c r="DV17" s="2615"/>
      <c r="DW17" s="2615"/>
      <c r="DX17" s="2615"/>
      <c r="DY17" s="2615"/>
      <c r="DZ17" s="2615"/>
      <c r="EA17" s="2615"/>
      <c r="EB17" s="2615"/>
      <c r="EC17" s="2615"/>
      <c r="ED17" s="2615"/>
      <c r="EE17" s="2615"/>
      <c r="EF17" s="2615"/>
      <c r="EG17" s="2615"/>
      <c r="EH17" s="2615"/>
      <c r="EI17" s="2615"/>
      <c r="EJ17" s="2615"/>
      <c r="EK17" s="2615"/>
      <c r="EL17" s="2615"/>
      <c r="EM17" s="2615"/>
      <c r="EN17" s="2615"/>
      <c r="EO17" s="2615"/>
      <c r="EP17" s="2615"/>
      <c r="EQ17" s="2615"/>
      <c r="ER17" s="2615"/>
      <c r="ES17" s="2615"/>
      <c r="ET17" s="2615"/>
      <c r="EU17" s="2615"/>
      <c r="EV17" s="2615"/>
      <c r="EW17" s="2615"/>
      <c r="EX17" s="2615"/>
      <c r="EY17" s="2615"/>
      <c r="EZ17" s="2615"/>
      <c r="FA17" s="2615"/>
      <c r="FB17" s="2615"/>
      <c r="FC17" s="2615"/>
      <c r="FD17" s="2615"/>
      <c r="FE17" s="2615"/>
      <c r="FF17" s="2615"/>
      <c r="FG17" s="2615"/>
      <c r="FH17" s="2615"/>
      <c r="FI17" s="2615"/>
      <c r="FJ17" s="2615"/>
      <c r="FK17" s="2615"/>
      <c r="FL17" s="2615"/>
      <c r="FM17" s="2615"/>
      <c r="FN17" s="2615"/>
      <c r="FO17" s="2615"/>
      <c r="FP17" s="2615"/>
      <c r="FQ17" s="2615"/>
      <c r="FR17" s="2615"/>
      <c r="FS17" s="2615"/>
      <c r="FT17" s="2615"/>
      <c r="FU17" s="2615"/>
      <c r="FV17" s="2615"/>
      <c r="FW17" s="2621"/>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383</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83</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D6D8C-B55C-D50E-D8E6-BD6E1D331957}">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452</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44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49"/>
      <c r="F5" s="2449"/>
      <c r="G5" s="2449"/>
      <c r="H5" s="2449"/>
      <c r="I5" s="474"/>
      <c r="S5" s="442">
        <v>38</v>
      </c>
    </row>
    <row r="6" spans="1:19" ht="15.75" customHeight="1">
      <c r="C6" s="114"/>
      <c r="D6" s="2421" t="str">
        <f>IF(org=0,"Не определено",org)</f>
        <v>МУП "Городские тепловые сети" МО  "город Курчатов"</v>
      </c>
      <c r="E6" s="2421"/>
      <c r="F6" s="2421"/>
      <c r="G6" s="2421"/>
      <c r="H6" s="2421"/>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118</v>
      </c>
      <c r="S8" s="442">
        <v>1</v>
      </c>
    </row>
    <row r="9" spans="1:19" ht="15.75" customHeight="1">
      <c r="C9" s="114"/>
      <c r="D9" s="648"/>
      <c r="E9" s="2568" t="s">
        <v>106</v>
      </c>
      <c r="F9" s="2569"/>
      <c r="G9" s="747" t="str">
        <f>IF(G8="","",INDEX(DIFFERENTIATION_UNMERGE_VD,MATCH(G8,DIFFERENTIATION_ID_DIFF,0)))</f>
        <v/>
      </c>
      <c r="H9" s="747">
        <f>IF(H8="","",INDEX(DIFFERENTIATION_UNMERGE_VD,MATCH(H8,DIFFERENTIATION_ID_DIFF,0)))</f>
        <v>0</v>
      </c>
      <c r="I9" s="2332" t="s">
        <v>308</v>
      </c>
      <c r="S9" s="442">
        <v>15</v>
      </c>
    </row>
    <row r="10" spans="1:19" s="1562" customFormat="1" ht="15.75" customHeight="1">
      <c r="A10" s="694"/>
      <c r="C10" s="114"/>
      <c r="D10" s="648"/>
      <c r="E10" s="2568" t="s">
        <v>573</v>
      </c>
      <c r="F10" s="2569"/>
      <c r="G10" s="747" t="str">
        <f>IF(G8="","",INDEX(DIFFERENTIATION_UNMERGE_AREA,MATCH(G8,DIFFERENTIATION_ID_DIFF,0)))</f>
        <v/>
      </c>
      <c r="H10" s="747" t="str">
        <f>IF(H8="","",INDEX(DIFFERENTIATION_UNMERGE_AREA,MATCH(H8,DIFFERENTIATION_ID_DIFF,0)))</f>
        <v/>
      </c>
      <c r="I10" s="2332"/>
      <c r="R10" s="612"/>
      <c r="S10" s="693">
        <v>15</v>
      </c>
    </row>
    <row r="11" spans="1:19" s="1562" customFormat="1" ht="15.75" customHeight="1">
      <c r="A11" s="694"/>
      <c r="C11" s="114"/>
      <c r="D11" s="648"/>
      <c r="E11" s="2568" t="s">
        <v>574</v>
      </c>
      <c r="F11" s="2569"/>
      <c r="G11" s="747" t="str">
        <f>IF(G8="","",INDEX(DIFFERENTIATION_UNMERGE_SYSTEM,MATCH(G8,DIFFERENTIATION_ID_DIFF,0)))</f>
        <v/>
      </c>
      <c r="H11" s="747" t="str">
        <f>IF(H8="","",INDEX(DIFFERENTIATION_UNMERGE_SYSTEM,MATCH(H8,DIFFERENTIATION_ID_DIFF,0)))</f>
        <v>без дифференциации</v>
      </c>
      <c r="I11" s="2332"/>
      <c r="R11" s="612"/>
      <c r="S11" s="693">
        <v>15</v>
      </c>
    </row>
    <row r="12" spans="1:19" s="1562" customFormat="1" ht="15.75" customHeight="1">
      <c r="A12" s="694"/>
      <c r="C12" s="114"/>
      <c r="D12" s="2570" t="s">
        <v>307</v>
      </c>
      <c r="E12" s="2571"/>
      <c r="F12" s="2571"/>
      <c r="G12" s="817"/>
      <c r="H12" s="817"/>
      <c r="I12" s="2332"/>
      <c r="R12" s="612"/>
      <c r="S12" s="693">
        <v>15</v>
      </c>
    </row>
    <row r="13" spans="1:19" ht="35.65" customHeight="1">
      <c r="C13" s="114"/>
      <c r="D13" s="696" t="s">
        <v>89</v>
      </c>
      <c r="E13" s="695" t="s">
        <v>309</v>
      </c>
      <c r="F13" s="695" t="s">
        <v>575</v>
      </c>
      <c r="G13" s="739" t="s">
        <v>310</v>
      </c>
      <c r="H13" s="691" t="s">
        <v>310</v>
      </c>
      <c r="I13" s="2332"/>
      <c r="S13" s="442">
        <v>34</v>
      </c>
    </row>
    <row r="14" spans="1:19" ht="15" hidden="1" customHeight="1">
      <c r="C14" s="114"/>
      <c r="D14" s="530" t="s">
        <v>110</v>
      </c>
      <c r="E14" s="530" t="s">
        <v>111</v>
      </c>
      <c r="F14" s="530" t="s">
        <v>91</v>
      </c>
      <c r="G14" s="596" t="str">
        <f>G1&amp;".1"</f>
        <v>.1</v>
      </c>
      <c r="H14" s="596" t="str">
        <f>H1&amp;".1"</f>
        <v>4.1</v>
      </c>
      <c r="I14" s="227"/>
      <c r="S14" s="442">
        <v>0</v>
      </c>
    </row>
    <row r="15" spans="1:19" ht="15.75" customHeight="1">
      <c r="A15" s="442"/>
      <c r="C15" s="463"/>
      <c r="D15" s="458">
        <v>1</v>
      </c>
      <c r="E15" s="1852" t="str">
        <f>TP_P_A</f>
        <v>Количество поданных заявок</v>
      </c>
      <c r="F15" s="458" t="s">
        <v>1123</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2" t="str">
        <f>TP_P_B</f>
        <v>Количество рассмотренных заявок</v>
      </c>
      <c r="F16" s="458" t="s">
        <v>1123</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1123</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313</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1124</v>
      </c>
      <c r="E20" s="625"/>
      <c r="F20" s="446"/>
      <c r="G20" s="446"/>
      <c r="H20" s="446"/>
      <c r="I20" s="1689"/>
      <c r="S20" s="442">
        <v>0</v>
      </c>
    </row>
    <row r="21" spans="1:19" ht="29.25" customHeight="1">
      <c r="C21" s="388"/>
      <c r="D21" s="476" t="s">
        <v>320</v>
      </c>
      <c r="E21" s="607"/>
      <c r="F21" s="1687" t="str">
        <f>IF(TEMPLATE_SPHERE="HEAT","Гкал/час","тыс. куб. м/сутки")</f>
        <v>Гкал/час</v>
      </c>
      <c r="G21" s="617"/>
      <c r="H21" s="617"/>
      <c r="I21" s="2378"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1125</v>
      </c>
      <c r="F22" s="509"/>
      <c r="G22" s="509"/>
      <c r="H22" s="509"/>
      <c r="I22" s="2380"/>
      <c r="R22" s="442"/>
      <c r="S22" s="442">
        <v>15</v>
      </c>
    </row>
    <row r="23" spans="1:19" ht="22.5" hidden="1" customHeight="1">
      <c r="A23" s="386" t="s">
        <v>83</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0EB41-389C-9973-D4B9-B7F9C6BD49DE}">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8"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38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85"/>
      <c r="F5" s="2385"/>
      <c r="G5" s="2386"/>
      <c r="Q5" s="23">
        <v>28</v>
      </c>
    </row>
    <row r="6" spans="1:17" s="1562" customFormat="1" ht="18.75" customHeight="1">
      <c r="A6" s="812"/>
      <c r="B6" s="354"/>
      <c r="C6" s="313"/>
      <c r="D6" s="2443" t="str">
        <f>IF(org=0,"Не определено",org)</f>
        <v>МУП "Городские тепловые сети" МО  "город Курчатов"</v>
      </c>
      <c r="E6" s="2444"/>
      <c r="F6" s="2444"/>
      <c r="G6" s="2445"/>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429" t="s">
        <v>307</v>
      </c>
      <c r="E9" s="2429"/>
      <c r="F9" s="2429"/>
      <c r="G9" s="2585" t="s">
        <v>308</v>
      </c>
      <c r="Q9" s="23">
        <v>14</v>
      </c>
    </row>
    <row r="10" spans="1:17" ht="24" customHeight="1">
      <c r="C10" s="36"/>
      <c r="D10" s="45" t="s">
        <v>89</v>
      </c>
      <c r="E10" s="48" t="s">
        <v>309</v>
      </c>
      <c r="F10" s="48" t="s">
        <v>397</v>
      </c>
      <c r="G10" s="2585"/>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313</v>
      </c>
      <c r="G12" s="89"/>
      <c r="Q12" s="23">
        <v>62</v>
      </c>
    </row>
    <row r="13" spans="1:17" ht="24" customHeight="1">
      <c r="A13" s="130"/>
      <c r="C13" s="36"/>
      <c r="D13" s="85" t="s">
        <v>1030</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313</v>
      </c>
      <c r="G13" s="89"/>
      <c r="Q13" s="23">
        <v>23</v>
      </c>
    </row>
    <row r="14" spans="1:17" ht="14.65" customHeight="1">
      <c r="A14" s="130"/>
      <c r="C14" s="36"/>
      <c r="D14" s="85" t="s">
        <v>1066</v>
      </c>
      <c r="E14" s="133"/>
      <c r="F14" s="151"/>
      <c r="G14" s="237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1126</v>
      </c>
      <c r="F15" s="139"/>
      <c r="G15" s="2380"/>
      <c r="Q15" s="23">
        <v>15</v>
      </c>
    </row>
    <row r="16" spans="1:17" ht="14.65" customHeight="1">
      <c r="A16" s="130"/>
      <c r="C16" s="36"/>
      <c r="D16" s="85" t="s">
        <v>1032</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313</v>
      </c>
      <c r="G16" s="275"/>
      <c r="Q16" s="23">
        <v>14</v>
      </c>
    </row>
    <row r="17" spans="1:17" ht="14.65" customHeight="1">
      <c r="A17" s="130"/>
      <c r="C17" s="36"/>
      <c r="D17" s="85" t="s">
        <v>1074</v>
      </c>
      <c r="E17" s="133"/>
      <c r="F17" s="322"/>
      <c r="G17" s="237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1127</v>
      </c>
      <c r="F18" s="276"/>
      <c r="G18" s="2380"/>
      <c r="I18" s="287"/>
      <c r="J18" s="287"/>
      <c r="Q18" s="280">
        <v>21</v>
      </c>
    </row>
    <row r="19" spans="1:17" s="1562" customFormat="1" ht="256.5" hidden="1" customHeight="1">
      <c r="A19" s="281"/>
      <c r="B19" s="354"/>
      <c r="C19" s="313"/>
      <c r="D19" s="814" t="s">
        <v>1034</v>
      </c>
      <c r="E19" s="813" t="s">
        <v>1128</v>
      </c>
      <c r="F19" s="322"/>
      <c r="G19" s="275" t="s">
        <v>1129</v>
      </c>
      <c r="I19" s="437"/>
      <c r="J19" s="437"/>
      <c r="Q19" s="693">
        <v>0</v>
      </c>
    </row>
    <row r="20" spans="1:17" s="1562" customFormat="1" ht="14.65" customHeight="1">
      <c r="A20" s="281"/>
      <c r="B20" s="84"/>
      <c r="C20" s="245"/>
      <c r="D20" s="815">
        <v>2</v>
      </c>
      <c r="E20" s="268" t="s">
        <v>1130</v>
      </c>
      <c r="F20" s="136" t="s">
        <v>313</v>
      </c>
      <c r="G20" s="275"/>
      <c r="I20" s="287"/>
      <c r="J20" s="287"/>
      <c r="Q20" s="280">
        <v>14</v>
      </c>
    </row>
    <row r="21" spans="1:17" s="1562" customFormat="1" ht="18.75" hidden="1" customHeight="1">
      <c r="A21" s="281"/>
      <c r="B21" s="84"/>
      <c r="C21" s="245"/>
      <c r="D21" s="271" t="s">
        <v>645</v>
      </c>
      <c r="E21" s="270"/>
      <c r="F21" s="269"/>
      <c r="G21" s="279"/>
      <c r="H21" s="272"/>
      <c r="I21" s="287"/>
      <c r="J21" s="287"/>
      <c r="Q21" s="280">
        <v>0</v>
      </c>
    </row>
    <row r="22" spans="1:17" ht="15.75" customHeight="1">
      <c r="A22" s="130"/>
      <c r="C22" s="36"/>
      <c r="D22" s="49"/>
      <c r="E22" s="141" t="s">
        <v>329</v>
      </c>
      <c r="F22" s="276"/>
      <c r="G22" s="277"/>
      <c r="Q22" s="23">
        <v>15</v>
      </c>
    </row>
    <row r="23" spans="1:17" s="1562" customFormat="1" ht="22.5" hidden="1" customHeight="1">
      <c r="A23" s="281"/>
      <c r="B23" s="1087"/>
      <c r="C23" s="313"/>
      <c r="D23" s="1600" t="s">
        <v>111</v>
      </c>
      <c r="E23" s="135" t="s">
        <v>1131</v>
      </c>
      <c r="F23" s="1597" t="s">
        <v>313</v>
      </c>
      <c r="G23" s="283"/>
      <c r="I23" s="1551"/>
      <c r="J23" s="1551"/>
      <c r="Q23" s="1558">
        <v>0</v>
      </c>
    </row>
    <row r="24" spans="1:17" s="1562" customFormat="1" ht="14.25" hidden="1" customHeight="1">
      <c r="A24" s="281"/>
      <c r="B24" s="1087"/>
      <c r="C24" s="313"/>
      <c r="D24" s="1600" t="s">
        <v>717</v>
      </c>
      <c r="E24" s="1599" t="s">
        <v>1132</v>
      </c>
      <c r="F24" s="1597" t="s">
        <v>313</v>
      </c>
      <c r="G24" s="275"/>
      <c r="I24" s="1551"/>
      <c r="J24" s="1551"/>
      <c r="Q24" s="1558">
        <v>0</v>
      </c>
    </row>
    <row r="25" spans="1:17" s="1562" customFormat="1" ht="14.25" hidden="1" customHeight="1">
      <c r="A25" s="281"/>
      <c r="B25" s="1087"/>
      <c r="C25" s="313"/>
      <c r="D25" s="1600" t="s">
        <v>720</v>
      </c>
      <c r="E25" s="133"/>
      <c r="F25" s="322"/>
      <c r="G25" s="2378" t="s">
        <v>1133</v>
      </c>
      <c r="I25" s="1551"/>
      <c r="J25" s="1551"/>
      <c r="Q25" s="1558">
        <v>0</v>
      </c>
    </row>
    <row r="26" spans="1:17" s="1562" customFormat="1" ht="22.5" hidden="1" customHeight="1">
      <c r="A26" s="281"/>
      <c r="B26" s="1087"/>
      <c r="C26" s="313"/>
      <c r="D26" s="285"/>
      <c r="E26" s="286" t="s">
        <v>1134</v>
      </c>
      <c r="F26" s="276"/>
      <c r="G26" s="2380"/>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83</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E1E91-B4BC-B8F3-BD36-6D717AA65764}">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452</v>
      </c>
      <c r="D2" s="1600"/>
      <c r="E2" s="137"/>
      <c r="F2" s="1597"/>
      <c r="G2" s="1597" t="s">
        <v>313</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452</v>
      </c>
      <c r="D4" s="1600"/>
      <c r="E4" s="143" t="s">
        <v>1135</v>
      </c>
      <c r="F4" s="1597"/>
      <c r="G4" s="195"/>
      <c r="H4" s="1597" t="s">
        <v>313</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452</v>
      </c>
      <c r="D6" s="1600"/>
      <c r="E6" s="144" t="s">
        <v>1136</v>
      </c>
      <c r="F6" s="1597"/>
      <c r="G6" s="195"/>
      <c r="H6" s="1597" t="s">
        <v>313</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452</v>
      </c>
      <c r="D8" s="1600"/>
      <c r="E8" s="144" t="s">
        <v>1137</v>
      </c>
      <c r="F8" s="1597"/>
      <c r="G8" s="195"/>
      <c r="H8" s="1597" t="s">
        <v>313</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452</v>
      </c>
      <c r="D10" s="1600"/>
      <c r="E10" s="144" t="s">
        <v>1138</v>
      </c>
      <c r="F10" s="1597"/>
      <c r="G10" s="1601"/>
      <c r="H10" s="1597" t="s">
        <v>313</v>
      </c>
      <c r="K10" s="1551"/>
      <c r="L10" s="1551" t="s">
        <v>1139</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38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85"/>
      <c r="F14" s="2385"/>
      <c r="G14" s="2385"/>
      <c r="H14" s="2386"/>
      <c r="J14" s="1558"/>
      <c r="M14" s="23">
        <v>28</v>
      </c>
    </row>
    <row r="15" spans="1:13" s="1562" customFormat="1" ht="14.65" customHeight="1">
      <c r="A15" s="1289"/>
      <c r="B15" s="1087"/>
      <c r="C15" s="313"/>
      <c r="D15" s="2443" t="str">
        <f>IF(org=0,"Не определено",org)</f>
        <v>МУП "Городские тепловые сети" МО  "город Курчатов"</v>
      </c>
      <c r="E15" s="2444"/>
      <c r="F15" s="2444"/>
      <c r="G15" s="2444"/>
      <c r="H15" s="2445"/>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429" t="s">
        <v>307</v>
      </c>
      <c r="E18" s="2429"/>
      <c r="F18" s="2429"/>
      <c r="G18" s="2429"/>
      <c r="H18" s="2429"/>
      <c r="I18" s="2585" t="s">
        <v>308</v>
      </c>
      <c r="M18" s="23">
        <v>21</v>
      </c>
    </row>
    <row r="19" spans="1:13" ht="21.95" customHeight="1">
      <c r="C19" s="36"/>
      <c r="D19" s="45" t="s">
        <v>89</v>
      </c>
      <c r="E19" s="48" t="s">
        <v>309</v>
      </c>
      <c r="F19" s="48"/>
      <c r="G19" s="48" t="s">
        <v>310</v>
      </c>
      <c r="H19" s="48" t="s">
        <v>397</v>
      </c>
      <c r="I19" s="2585"/>
      <c r="M19" s="23">
        <v>21</v>
      </c>
    </row>
    <row r="20" spans="1:13" ht="12" hidden="1" customHeight="1">
      <c r="C20" s="36"/>
      <c r="D20" s="27"/>
      <c r="E20" s="27"/>
      <c r="F20" s="27"/>
      <c r="G20" s="27"/>
      <c r="H20" s="27"/>
      <c r="I20" s="27"/>
      <c r="M20" s="23">
        <v>0</v>
      </c>
    </row>
    <row r="21" spans="1:13" ht="14.65" customHeight="1">
      <c r="A21" s="1610"/>
      <c r="C21" s="36"/>
      <c r="D21" s="85">
        <v>1</v>
      </c>
      <c r="E21" s="2636" t="s">
        <v>1140</v>
      </c>
      <c r="F21" s="2636"/>
      <c r="G21" s="2636"/>
      <c r="H21" s="2636"/>
      <c r="I21" s="146"/>
      <c r="M21" s="23">
        <v>14</v>
      </c>
    </row>
    <row r="22" spans="1:13" ht="21" customHeight="1">
      <c r="A22" s="1610"/>
      <c r="C22" s="36"/>
      <c r="D22" s="85" t="s">
        <v>1030</v>
      </c>
      <c r="E22" s="132" t="s">
        <v>1141</v>
      </c>
      <c r="F22" s="136"/>
      <c r="G22" s="1663"/>
      <c r="H22" s="136" t="s">
        <v>313</v>
      </c>
      <c r="I22" s="89" t="s">
        <v>1142</v>
      </c>
      <c r="M22" s="23">
        <v>20</v>
      </c>
    </row>
    <row r="23" spans="1:13" ht="60" customHeight="1">
      <c r="A23" s="1610"/>
      <c r="C23" s="36"/>
      <c r="D23" s="85" t="s">
        <v>1032</v>
      </c>
      <c r="E23" s="132" t="s">
        <v>1143</v>
      </c>
      <c r="F23" s="136"/>
      <c r="G23" s="195"/>
      <c r="H23" s="151"/>
      <c r="I23" s="196" t="s">
        <v>1144</v>
      </c>
      <c r="M23" s="23">
        <v>57</v>
      </c>
    </row>
    <row r="24" spans="1:13" ht="14.6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313</v>
      </c>
      <c r="H24" s="151"/>
      <c r="I24" s="197" t="s">
        <v>640</v>
      </c>
      <c r="M24" s="23">
        <v>14</v>
      </c>
    </row>
    <row r="25" spans="1:13" ht="48.2" customHeight="1">
      <c r="A25" s="1610"/>
      <c r="C25" s="36"/>
      <c r="D25" s="85">
        <v>3</v>
      </c>
      <c r="E25" s="263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6"/>
      <c r="G25" s="2636"/>
      <c r="H25" s="2636"/>
      <c r="I25" s="194"/>
      <c r="M25" s="23">
        <v>46</v>
      </c>
    </row>
    <row r="26" spans="1:13" ht="14.65" customHeight="1">
      <c r="A26" s="1610"/>
      <c r="C26" s="36"/>
      <c r="D26" s="85" t="s">
        <v>331</v>
      </c>
      <c r="E26" s="137"/>
      <c r="F26" s="136"/>
      <c r="G26" s="136" t="s">
        <v>313</v>
      </c>
      <c r="H26" s="151"/>
      <c r="I26" s="2378" t="s">
        <v>1145</v>
      </c>
      <c r="M26" s="23">
        <v>14</v>
      </c>
    </row>
    <row r="27" spans="1:13" ht="15.75" customHeight="1">
      <c r="A27" s="1610" t="s">
        <v>110</v>
      </c>
      <c r="C27" s="36"/>
      <c r="D27" s="49"/>
      <c r="E27" s="141" t="s">
        <v>329</v>
      </c>
      <c r="F27" s="142"/>
      <c r="G27" s="142"/>
      <c r="H27" s="139"/>
      <c r="I27" s="2380"/>
      <c r="M27" s="23">
        <v>15</v>
      </c>
    </row>
    <row r="28" spans="1:13" ht="39.75" customHeight="1">
      <c r="A28" s="1610"/>
      <c r="B28" s="84">
        <v>3</v>
      </c>
      <c r="C28" s="36"/>
      <c r="D28" s="85">
        <v>4</v>
      </c>
      <c r="E28" s="263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6"/>
      <c r="G28" s="2636"/>
      <c r="H28" s="2636"/>
      <c r="I28" s="194"/>
      <c r="M28" s="23">
        <v>38</v>
      </c>
    </row>
    <row r="29" spans="1:13" ht="21" customHeight="1">
      <c r="A29" s="1610"/>
      <c r="C29" s="36"/>
      <c r="D29" s="85" t="s">
        <v>762</v>
      </c>
      <c r="E29" s="143" t="s">
        <v>1135</v>
      </c>
      <c r="F29" s="136"/>
      <c r="G29" s="195"/>
      <c r="H29" s="136" t="s">
        <v>313</v>
      </c>
      <c r="I29" s="2378" t="s">
        <v>1146</v>
      </c>
      <c r="M29" s="23">
        <v>20</v>
      </c>
    </row>
    <row r="30" spans="1:13" ht="15.75" customHeight="1">
      <c r="A30" s="1610" t="s">
        <v>111</v>
      </c>
      <c r="C30" s="36"/>
      <c r="D30" s="49"/>
      <c r="E30" s="141" t="s">
        <v>329</v>
      </c>
      <c r="F30" s="142"/>
      <c r="G30" s="142"/>
      <c r="H30" s="139"/>
      <c r="I30" s="2380"/>
      <c r="M30" s="23">
        <v>15</v>
      </c>
    </row>
    <row r="31" spans="1:13" ht="31.5" customHeight="1">
      <c r="A31" s="1610"/>
      <c r="B31" s="84">
        <v>3</v>
      </c>
      <c r="C31" s="36"/>
      <c r="D31" s="85">
        <v>5</v>
      </c>
      <c r="E31" s="263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36"/>
      <c r="G31" s="2636"/>
      <c r="H31" s="2636"/>
      <c r="I31" s="194"/>
      <c r="M31" s="23">
        <v>30</v>
      </c>
    </row>
    <row r="32" spans="1:13" ht="27.4" customHeight="1">
      <c r="A32" s="1610"/>
      <c r="C32" s="36"/>
      <c r="D32" s="85" t="s">
        <v>320</v>
      </c>
      <c r="E32" s="259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99"/>
      <c r="G32" s="2599"/>
      <c r="H32" s="2599"/>
      <c r="I32" s="194"/>
      <c r="M32" s="23">
        <v>26</v>
      </c>
    </row>
    <row r="33" spans="1:13" ht="14.65" customHeight="1">
      <c r="A33" s="1610"/>
      <c r="C33" s="36"/>
      <c r="D33" s="85" t="s">
        <v>1147</v>
      </c>
      <c r="E33" s="144" t="s">
        <v>1136</v>
      </c>
      <c r="F33" s="136"/>
      <c r="G33" s="195"/>
      <c r="H33" s="136" t="s">
        <v>313</v>
      </c>
      <c r="I33" s="2378" t="s">
        <v>1148</v>
      </c>
      <c r="M33" s="23">
        <v>14</v>
      </c>
    </row>
    <row r="34" spans="1:13" ht="15.75" customHeight="1">
      <c r="A34" s="1610" t="s">
        <v>91</v>
      </c>
      <c r="C34" s="36"/>
      <c r="D34" s="49"/>
      <c r="E34" s="142" t="s">
        <v>329</v>
      </c>
      <c r="F34" s="138"/>
      <c r="G34" s="138"/>
      <c r="H34" s="139"/>
      <c r="I34" s="2380"/>
      <c r="M34" s="23">
        <v>15</v>
      </c>
    </row>
    <row r="35" spans="1:13" ht="25.15" customHeight="1">
      <c r="A35" s="1610"/>
      <c r="C35" s="36"/>
      <c r="D35" s="85" t="s">
        <v>890</v>
      </c>
      <c r="E35" s="259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99"/>
      <c r="G35" s="2599"/>
      <c r="H35" s="2599"/>
      <c r="I35" s="194"/>
      <c r="M35" s="23">
        <v>24</v>
      </c>
    </row>
    <row r="36" spans="1:13" ht="14.65" customHeight="1">
      <c r="A36" s="1610"/>
      <c r="C36" s="36"/>
      <c r="D36" s="85" t="s">
        <v>1149</v>
      </c>
      <c r="E36" s="144" t="s">
        <v>1137</v>
      </c>
      <c r="F36" s="136"/>
      <c r="G36" s="195"/>
      <c r="H36" s="136" t="s">
        <v>313</v>
      </c>
      <c r="I36" s="2354" t="s">
        <v>1150</v>
      </c>
      <c r="M36" s="23">
        <v>14</v>
      </c>
    </row>
    <row r="37" spans="1:13" ht="15.75" customHeight="1">
      <c r="A37" s="1610" t="s">
        <v>92</v>
      </c>
      <c r="C37" s="36"/>
      <c r="D37" s="49"/>
      <c r="E37" s="142" t="s">
        <v>329</v>
      </c>
      <c r="F37" s="138"/>
      <c r="G37" s="138"/>
      <c r="H37" s="139"/>
      <c r="I37" s="2354"/>
      <c r="M37" s="23">
        <v>15</v>
      </c>
    </row>
    <row r="38" spans="1:13" ht="27.4" customHeight="1">
      <c r="A38" s="1610"/>
      <c r="C38" s="36"/>
      <c r="D38" s="85" t="s">
        <v>891</v>
      </c>
      <c r="E38" s="259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99"/>
      <c r="G38" s="2599"/>
      <c r="H38" s="2599"/>
      <c r="I38" s="194"/>
      <c r="M38" s="23">
        <v>26</v>
      </c>
    </row>
    <row r="39" spans="1:13" ht="14.65" customHeight="1">
      <c r="A39" s="1610"/>
      <c r="C39" s="36"/>
      <c r="D39" s="85" t="s">
        <v>892</v>
      </c>
      <c r="E39" s="144" t="s">
        <v>1138</v>
      </c>
      <c r="F39" s="136"/>
      <c r="G39" s="145"/>
      <c r="H39" s="136" t="s">
        <v>313</v>
      </c>
      <c r="I39" s="2378" t="s">
        <v>1151</v>
      </c>
      <c r="L39" s="93" t="s">
        <v>1139</v>
      </c>
      <c r="M39" s="23">
        <v>14</v>
      </c>
    </row>
    <row r="40" spans="1:13" ht="15.75" customHeight="1">
      <c r="A40" s="1610" t="s">
        <v>112</v>
      </c>
      <c r="C40" s="36"/>
      <c r="D40" s="49"/>
      <c r="E40" s="142" t="s">
        <v>329</v>
      </c>
      <c r="F40" s="138"/>
      <c r="G40" s="138"/>
      <c r="H40" s="139"/>
      <c r="I40" s="2380"/>
      <c r="M40" s="23">
        <v>15</v>
      </c>
    </row>
    <row r="41" spans="1:13" s="1748" customFormat="1" ht="3" customHeight="1">
      <c r="A41" s="1610"/>
      <c r="K41" s="134"/>
      <c r="L41" s="134"/>
      <c r="M41" s="79">
        <v>3</v>
      </c>
    </row>
    <row r="42" spans="1:13" ht="26.25" customHeight="1">
      <c r="D42" s="1608" t="s">
        <v>812</v>
      </c>
      <c r="E42" s="246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67"/>
      <c r="G42" s="2467"/>
      <c r="H42" s="2467"/>
      <c r="I42" s="2467"/>
      <c r="M42" s="23">
        <v>25</v>
      </c>
    </row>
    <row r="43" spans="1:13" ht="22.5" hidden="1" customHeight="1">
      <c r="A43" s="1289" t="s">
        <v>83</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66C34-F826-A4BC-859E-ECCB1EB0CD98}">
  <sheetPr>
    <tabColor theme="6" tint="0.39997558519241921"/>
  </sheetPr>
  <dimension ref="A1:AH332"/>
  <sheetViews>
    <sheetView showGridLines="0" tabSelected="1" zoomScale="90" workbookViewId="0">
      <pane xSplit="7" ySplit="21" topLeftCell="H146" activePane="bottomRight" state="frozen"/>
      <selection pane="topRight" activeCell="H1" sqref="H1"/>
      <selection pane="bottomLeft" activeCell="A22" sqref="A22"/>
      <selection pane="bottomRight" activeCell="J27" sqref="J27"/>
    </sheetView>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156</v>
      </c>
      <c r="B2" s="1706" t="s">
        <v>157</v>
      </c>
      <c r="C2" s="306"/>
      <c r="D2" s="282"/>
      <c r="E2" s="961"/>
      <c r="F2" s="961"/>
      <c r="G2" s="2612" t="str">
        <f>INDEX(PT_DIFFERENTIATION_NTAR,MATCH(B2,PT_DIFFERENTIATION_NTAR_ID,0))</f>
        <v/>
      </c>
      <c r="H2" s="1789"/>
      <c r="I2" s="1665"/>
      <c r="J2" s="1699"/>
      <c r="K2" s="1790"/>
      <c r="L2" s="1789" t="s">
        <v>313</v>
      </c>
      <c r="M2" s="1800"/>
      <c r="N2" s="272"/>
      <c r="O2" s="1551"/>
      <c r="P2" s="1551"/>
      <c r="AH2" s="1558">
        <v>0</v>
      </c>
    </row>
    <row r="3" spans="1:34" s="1562" customFormat="1" ht="18.75" hidden="1" customHeight="1">
      <c r="A3" s="1706"/>
      <c r="B3" s="1706"/>
      <c r="C3" s="306" t="s">
        <v>1152</v>
      </c>
      <c r="D3" s="282"/>
      <c r="E3" s="961"/>
      <c r="F3" s="961"/>
      <c r="G3" s="2612"/>
      <c r="H3" s="1427"/>
      <c r="I3" s="588" t="s">
        <v>1153</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156</v>
      </c>
      <c r="B5" s="1706" t="s">
        <v>157</v>
      </c>
      <c r="C5" s="306"/>
      <c r="D5" s="282"/>
      <c r="E5" s="961"/>
      <c r="F5" s="961"/>
      <c r="G5" s="2612" t="str">
        <f>INDEX(PT_DIFFERENTIATION_NTAR,MATCH(B5,PT_DIFFERENTIATION_NTAR_ID,0))</f>
        <v/>
      </c>
      <c r="H5" s="1789"/>
      <c r="I5" s="1665"/>
      <c r="J5" s="1699"/>
      <c r="K5" s="1704"/>
      <c r="L5" s="1789" t="s">
        <v>313</v>
      </c>
      <c r="M5" s="1800"/>
      <c r="N5" s="272"/>
      <c r="O5" s="1551"/>
      <c r="P5" s="1551"/>
      <c r="AH5" s="1558">
        <v>0</v>
      </c>
    </row>
    <row r="6" spans="1:34" s="1562" customFormat="1" ht="18.75" hidden="1" customHeight="1">
      <c r="A6" s="1706"/>
      <c r="B6" s="1706"/>
      <c r="C6" s="306" t="s">
        <v>1154</v>
      </c>
      <c r="D6" s="282"/>
      <c r="E6" s="961"/>
      <c r="F6" s="961"/>
      <c r="G6" s="2612"/>
      <c r="H6" s="1427"/>
      <c r="I6" s="588" t="s">
        <v>1153</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313</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313</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63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8"/>
      <c r="G14" s="2638"/>
      <c r="H14" s="2638"/>
      <c r="I14" s="2638"/>
      <c r="J14" s="2638"/>
      <c r="K14" s="2638"/>
      <c r="L14" s="2638"/>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изменении тарифов</v>
      </c>
      <c r="G16" s="2460">
        <f>IF(TITLE_DATE_PR_CHANGE="",IF(TITLE_DATE_PR="","",TITLE_DATE_PR),TITLE_DATE_PR_CHANGE)</f>
        <v>45775</v>
      </c>
      <c r="H16" s="2460"/>
      <c r="I16" s="2460"/>
      <c r="J16" s="2460"/>
      <c r="K16" s="2460"/>
      <c r="L16" s="2460"/>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изменении тарифов</v>
      </c>
      <c r="G17" s="2461" t="str">
        <f>IF(TITLE_NUMBER_PR_CHANGE="",IF(TITLE_NUMBER_PR="","",TITLE_NUMBER_PR),TITLE_NUMBER_PR_CHANGE)</f>
        <v>03.5-1382</v>
      </c>
      <c r="H17" s="2461"/>
      <c r="I17" s="2461"/>
      <c r="J17" s="2461"/>
      <c r="K17" s="2461"/>
      <c r="L17" s="2461"/>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429" t="s">
        <v>307</v>
      </c>
      <c r="F19" s="2429"/>
      <c r="G19" s="2429"/>
      <c r="H19" s="2429"/>
      <c r="I19" s="2429"/>
      <c r="J19" s="2429"/>
      <c r="K19" s="2429"/>
      <c r="L19" s="2429"/>
      <c r="M19" s="2585" t="s">
        <v>308</v>
      </c>
      <c r="AH19" s="311">
        <v>21</v>
      </c>
    </row>
    <row r="20" spans="1:34" ht="21.95" customHeight="1">
      <c r="D20" s="313"/>
      <c r="E20" s="2485" t="s">
        <v>89</v>
      </c>
      <c r="F20" s="2435" t="s">
        <v>123</v>
      </c>
      <c r="G20" s="2435" t="s">
        <v>124</v>
      </c>
      <c r="H20" s="2582" t="s">
        <v>1155</v>
      </c>
      <c r="I20" s="2583"/>
      <c r="J20" s="2614"/>
      <c r="K20" s="2435" t="s">
        <v>310</v>
      </c>
      <c r="L20" s="2435" t="s">
        <v>397</v>
      </c>
      <c r="M20" s="2585"/>
      <c r="AH20" s="311">
        <v>21</v>
      </c>
    </row>
    <row r="21" spans="1:34" ht="21.95" customHeight="1">
      <c r="D21" s="313"/>
      <c r="E21" s="2487"/>
      <c r="F21" s="2436"/>
      <c r="G21" s="2436"/>
      <c r="H21" s="2434" t="s">
        <v>1156</v>
      </c>
      <c r="I21" s="2448"/>
      <c r="J21" s="48" t="s">
        <v>1157</v>
      </c>
      <c r="K21" s="2436"/>
      <c r="L21" s="2436"/>
      <c r="M21" s="2585"/>
      <c r="AH21" s="311">
        <v>21</v>
      </c>
    </row>
    <row r="22" spans="1:34" ht="12.75" customHeight="1">
      <c r="D22" s="313"/>
      <c r="E22" s="219"/>
      <c r="F22" s="219"/>
      <c r="G22" s="219"/>
      <c r="H22" s="2640"/>
      <c r="I22" s="2640"/>
      <c r="J22" s="219"/>
      <c r="K22" s="219"/>
      <c r="L22" s="219"/>
      <c r="M22" s="219"/>
      <c r="AH22" s="311">
        <v>12</v>
      </c>
    </row>
    <row r="23" spans="1:34" ht="19.899999999999999" customHeight="1">
      <c r="A23" s="1706"/>
      <c r="B23" s="1706"/>
      <c r="D23" s="313"/>
      <c r="E23" s="1791" t="s">
        <v>110</v>
      </c>
      <c r="F23" s="2641" t="str">
        <f>"Предлагаемый метод регулирования"&amp;IF(TEMPLATE_SPHERE="HEAT"," в сфере "&amp;TEMPLATE_SPHERE_RUS,"")</f>
        <v>Предлагаемый метод регулирования в сфере теплоснабжения</v>
      </c>
      <c r="G23" s="2641"/>
      <c r="H23" s="2636"/>
      <c r="I23" s="2636"/>
      <c r="J23" s="2636"/>
      <c r="K23" s="2641" t="s">
        <v>313</v>
      </c>
      <c r="L23" s="2636"/>
      <c r="M23" s="1695"/>
      <c r="N23" s="272"/>
      <c r="AH23" s="311">
        <v>19</v>
      </c>
    </row>
    <row r="24" spans="1:34" ht="60.75" hidden="1" customHeight="1">
      <c r="A24" s="1706" t="s">
        <v>156</v>
      </c>
      <c r="B24" s="1706" t="s">
        <v>157</v>
      </c>
      <c r="D24" s="2639"/>
      <c r="E24" s="2424"/>
      <c r="F24" s="264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12" t="str">
        <f>INDEX(PT_DIFFERENTIATION_NTAR,MATCH(B24,PT_DIFFERENTIATION_NTAR_ID,0))</f>
        <v/>
      </c>
      <c r="H24" s="1787"/>
      <c r="I24" s="1665"/>
      <c r="J24" s="1699"/>
      <c r="K24" s="1790"/>
      <c r="L24" s="1694" t="s">
        <v>313</v>
      </c>
      <c r="M24" s="23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1152</v>
      </c>
      <c r="D25" s="2639"/>
      <c r="E25" s="2424"/>
      <c r="F25" s="2642"/>
      <c r="G25" s="2612"/>
      <c r="H25" s="1427"/>
      <c r="I25" s="588" t="s">
        <v>1153</v>
      </c>
      <c r="J25" s="508"/>
      <c r="K25" s="1427"/>
      <c r="L25" s="152"/>
      <c r="M25" s="2379"/>
      <c r="N25" s="272"/>
      <c r="O25" s="1551"/>
      <c r="P25" s="1551"/>
      <c r="AH25" s="1558">
        <v>0</v>
      </c>
    </row>
    <row r="26" spans="1:34" ht="0.75" hidden="1" customHeight="1">
      <c r="A26" s="1706"/>
      <c r="B26" s="1706"/>
      <c r="C26" s="306" t="s">
        <v>1158</v>
      </c>
      <c r="D26" s="2639"/>
      <c r="E26" s="2424"/>
      <c r="F26" s="2575"/>
      <c r="G26" s="337"/>
      <c r="H26" s="1427"/>
      <c r="I26" s="332"/>
      <c r="J26" s="286"/>
      <c r="K26" s="1427"/>
      <c r="L26" s="139"/>
      <c r="M26" s="2379"/>
      <c r="N26" s="272"/>
      <c r="AH26" s="311">
        <v>0</v>
      </c>
    </row>
    <row r="27" spans="1:34" s="1562" customFormat="1" ht="45" customHeight="1">
      <c r="A27" s="1706" t="s">
        <v>164</v>
      </c>
      <c r="B27" s="1706" t="s">
        <v>165</v>
      </c>
      <c r="C27" s="306"/>
      <c r="D27" s="2637"/>
      <c r="E27" s="2643"/>
      <c r="F27" s="264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12" t="str">
        <f>INDEX(PT_DIFFERENTIATION_NTAR,MATCH(B27,PT_DIFFERENTIATION_NTAR_ID,0))</f>
        <v>Тариф на тепловую энергию (мощность), поставляемую потребителям</v>
      </c>
      <c r="H27" s="1787"/>
      <c r="I27" s="1665">
        <v>46023</v>
      </c>
      <c r="J27" s="1699">
        <v>46387</v>
      </c>
      <c r="K27" s="1790" t="s">
        <v>1159</v>
      </c>
      <c r="L27" s="1787" t="s">
        <v>313</v>
      </c>
      <c r="M27" s="2379"/>
      <c r="N27" s="272"/>
      <c r="O27" s="1551"/>
      <c r="P27" s="1551"/>
      <c r="AH27" s="1558">
        <v>0</v>
      </c>
    </row>
    <row r="28" spans="1:34" s="1562" customFormat="1" ht="18.75" customHeight="1">
      <c r="A28" s="1706"/>
      <c r="B28" s="1706"/>
      <c r="C28" s="306" t="s">
        <v>1152</v>
      </c>
      <c r="D28" s="2637"/>
      <c r="E28" s="2643"/>
      <c r="F28" s="2644"/>
      <c r="G28" s="2612"/>
      <c r="H28" s="1427"/>
      <c r="I28" s="588" t="s">
        <v>1153</v>
      </c>
      <c r="J28" s="508"/>
      <c r="K28" s="1427"/>
      <c r="L28" s="152"/>
      <c r="M28" s="2379"/>
      <c r="N28" s="272"/>
      <c r="O28" s="1551"/>
      <c r="P28" s="1551"/>
      <c r="AH28" s="1558">
        <v>0</v>
      </c>
    </row>
    <row r="29" spans="1:34" s="1562" customFormat="1" ht="0.75" customHeight="1">
      <c r="A29" s="1706"/>
      <c r="B29" s="1706"/>
      <c r="C29" s="306" t="s">
        <v>1158</v>
      </c>
      <c r="D29" s="2637"/>
      <c r="E29" s="2424"/>
      <c r="F29" s="2575"/>
      <c r="G29" s="337"/>
      <c r="H29" s="1427"/>
      <c r="I29" s="588"/>
      <c r="J29" s="508"/>
      <c r="K29" s="1427"/>
      <c r="L29" s="152"/>
      <c r="M29" s="2379"/>
      <c r="N29" s="272"/>
      <c r="O29" s="1551"/>
      <c r="P29" s="1551"/>
      <c r="AH29" s="1558">
        <v>0</v>
      </c>
    </row>
    <row r="30" spans="1:34" s="1562" customFormat="1" ht="45" hidden="1" customHeight="1">
      <c r="A30" s="1706" t="s">
        <v>174</v>
      </c>
      <c r="B30" s="1706" t="s">
        <v>175</v>
      </c>
      <c r="C30" s="306"/>
      <c r="D30" s="2637"/>
      <c r="E30" s="2424"/>
      <c r="F30" s="257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12" t="str">
        <f>INDEX(PT_DIFFERENTIATION_NTAR,MATCH(B30,PT_DIFFERENTIATION_NTAR_ID,0))</f>
        <v/>
      </c>
      <c r="H30" s="1787"/>
      <c r="I30" s="1665"/>
      <c r="J30" s="1699"/>
      <c r="K30" s="1790"/>
      <c r="L30" s="1787" t="s">
        <v>313</v>
      </c>
      <c r="M30" s="2379"/>
      <c r="N30" s="272"/>
      <c r="O30" s="1551"/>
      <c r="P30" s="1551"/>
      <c r="AH30" s="1558">
        <v>0</v>
      </c>
    </row>
    <row r="31" spans="1:34" s="1562" customFormat="1" ht="18.75" hidden="1" customHeight="1">
      <c r="A31" s="1706"/>
      <c r="B31" s="1706"/>
      <c r="C31" s="306" t="s">
        <v>1152</v>
      </c>
      <c r="D31" s="2637"/>
      <c r="E31" s="2424"/>
      <c r="F31" s="2575"/>
      <c r="G31" s="2612"/>
      <c r="H31" s="1427"/>
      <c r="I31" s="588" t="s">
        <v>1153</v>
      </c>
      <c r="J31" s="508"/>
      <c r="K31" s="1427"/>
      <c r="L31" s="152"/>
      <c r="M31" s="2379"/>
      <c r="N31" s="272"/>
      <c r="O31" s="1551"/>
      <c r="P31" s="1551"/>
      <c r="AH31" s="1558">
        <v>0</v>
      </c>
    </row>
    <row r="32" spans="1:34" s="1562" customFormat="1" ht="0.75" hidden="1" customHeight="1">
      <c r="A32" s="1706"/>
      <c r="B32" s="1706"/>
      <c r="C32" s="306" t="s">
        <v>1158</v>
      </c>
      <c r="D32" s="2637"/>
      <c r="E32" s="2424"/>
      <c r="F32" s="2575"/>
      <c r="G32" s="337"/>
      <c r="H32" s="1427"/>
      <c r="I32" s="588"/>
      <c r="J32" s="508"/>
      <c r="K32" s="1427"/>
      <c r="L32" s="152"/>
      <c r="M32" s="2379"/>
      <c r="N32" s="272"/>
      <c r="O32" s="1551"/>
      <c r="P32" s="1551"/>
      <c r="AH32" s="1558">
        <v>0</v>
      </c>
    </row>
    <row r="33" spans="1:34" s="1562" customFormat="1" ht="45" customHeight="1">
      <c r="A33" s="1706" t="s">
        <v>182</v>
      </c>
      <c r="B33" s="1706" t="s">
        <v>183</v>
      </c>
      <c r="C33" s="306"/>
      <c r="D33" s="2637"/>
      <c r="E33" s="2424"/>
      <c r="F33" s="257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12" t="str">
        <f>INDEX(PT_DIFFERENTIATION_NTAR,MATCH(B33,PT_DIFFERENTIATION_NTAR_ID,0))</f>
        <v>Тариф на горячую воду в открытой системе теплоснабжения (горячее водоснабжение)</v>
      </c>
      <c r="H33" s="1787"/>
      <c r="I33" s="1665">
        <v>46023</v>
      </c>
      <c r="J33" s="1699">
        <v>46387</v>
      </c>
      <c r="K33" s="1790" t="s">
        <v>1159</v>
      </c>
      <c r="L33" s="1787" t="s">
        <v>313</v>
      </c>
      <c r="M33" s="2379"/>
      <c r="N33" s="272"/>
      <c r="O33" s="1551"/>
      <c r="P33" s="1551"/>
      <c r="AH33" s="1558">
        <v>0</v>
      </c>
    </row>
    <row r="34" spans="1:34" s="1562" customFormat="1" ht="18.75" customHeight="1">
      <c r="A34" s="1706"/>
      <c r="B34" s="1706"/>
      <c r="C34" s="306" t="s">
        <v>1152</v>
      </c>
      <c r="D34" s="2637"/>
      <c r="E34" s="2424"/>
      <c r="F34" s="2575"/>
      <c r="G34" s="2612"/>
      <c r="H34" s="1427"/>
      <c r="I34" s="588" t="s">
        <v>1153</v>
      </c>
      <c r="J34" s="508"/>
      <c r="K34" s="1427"/>
      <c r="L34" s="152"/>
      <c r="M34" s="2379"/>
      <c r="N34" s="272"/>
      <c r="O34" s="1551"/>
      <c r="P34" s="1551"/>
      <c r="AH34" s="1558">
        <v>0</v>
      </c>
    </row>
    <row r="35" spans="1:34" s="1562" customFormat="1" ht="0.75" customHeight="1">
      <c r="A35" s="1706"/>
      <c r="B35" s="1706"/>
      <c r="C35" s="306" t="s">
        <v>1158</v>
      </c>
      <c r="D35" s="2637"/>
      <c r="E35" s="2424"/>
      <c r="F35" s="2575"/>
      <c r="G35" s="337"/>
      <c r="H35" s="1427"/>
      <c r="I35" s="588"/>
      <c r="J35" s="508"/>
      <c r="K35" s="1427"/>
      <c r="L35" s="152"/>
      <c r="M35" s="2379"/>
      <c r="N35" s="272"/>
      <c r="O35" s="1551"/>
      <c r="P35" s="1551"/>
      <c r="AH35" s="1558">
        <v>0</v>
      </c>
    </row>
    <row r="36" spans="1:34" s="1562" customFormat="1" ht="18.75" hidden="1" customHeight="1">
      <c r="A36" s="1706" t="s">
        <v>188</v>
      </c>
      <c r="B36" s="1706" t="s">
        <v>189</v>
      </c>
      <c r="C36" s="306"/>
      <c r="D36" s="2637"/>
      <c r="E36" s="2424"/>
      <c r="F36" s="2575" t="str">
        <f>INDEX(PT_DIFFERENTIATION_VTAR,MATCH(A36,PT_DIFFERENTIATION_VTAR_ID,0))</f>
        <v>Тарифы на услуги по передаче тепловой энергии</v>
      </c>
      <c r="G36" s="2612" t="str">
        <f>INDEX(PT_DIFFERENTIATION_NTAR,MATCH(B36,PT_DIFFERENTIATION_NTAR_ID,0))</f>
        <v/>
      </c>
      <c r="H36" s="1787"/>
      <c r="I36" s="1665"/>
      <c r="J36" s="1699"/>
      <c r="K36" s="1790"/>
      <c r="L36" s="1787" t="s">
        <v>313</v>
      </c>
      <c r="M36" s="2379"/>
      <c r="N36" s="272"/>
      <c r="O36" s="1551"/>
      <c r="P36" s="1551"/>
      <c r="AH36" s="1558">
        <v>0</v>
      </c>
    </row>
    <row r="37" spans="1:34" s="1562" customFormat="1" ht="18.75" hidden="1" customHeight="1">
      <c r="A37" s="1706"/>
      <c r="B37" s="1706"/>
      <c r="C37" s="306" t="s">
        <v>1152</v>
      </c>
      <c r="D37" s="2637"/>
      <c r="E37" s="2424"/>
      <c r="F37" s="2575"/>
      <c r="G37" s="2612"/>
      <c r="H37" s="1427"/>
      <c r="I37" s="588" t="s">
        <v>1153</v>
      </c>
      <c r="J37" s="508"/>
      <c r="K37" s="1427"/>
      <c r="L37" s="152"/>
      <c r="M37" s="2379"/>
      <c r="N37" s="272"/>
      <c r="O37" s="1551"/>
      <c r="P37" s="1551"/>
      <c r="AH37" s="1558">
        <v>0</v>
      </c>
    </row>
    <row r="38" spans="1:34" s="1562" customFormat="1" ht="0.75" hidden="1" customHeight="1">
      <c r="A38" s="1706"/>
      <c r="B38" s="1706"/>
      <c r="C38" s="306" t="s">
        <v>1158</v>
      </c>
      <c r="D38" s="2637"/>
      <c r="E38" s="2424"/>
      <c r="F38" s="2575"/>
      <c r="G38" s="337"/>
      <c r="H38" s="1427"/>
      <c r="I38" s="588"/>
      <c r="J38" s="508"/>
      <c r="K38" s="1427"/>
      <c r="L38" s="152"/>
      <c r="M38" s="2379"/>
      <c r="N38" s="272"/>
      <c r="O38" s="1551"/>
      <c r="P38" s="1551"/>
      <c r="AH38" s="1558">
        <v>0</v>
      </c>
    </row>
    <row r="39" spans="1:34" s="1562" customFormat="1" ht="18.75" hidden="1" customHeight="1">
      <c r="A39" s="1706" t="s">
        <v>194</v>
      </c>
      <c r="B39" s="1706" t="s">
        <v>195</v>
      </c>
      <c r="C39" s="306"/>
      <c r="D39" s="2637"/>
      <c r="E39" s="2424"/>
      <c r="F39" s="2575" t="str">
        <f>INDEX(PT_DIFFERENTIATION_VTAR,MATCH(A39,PT_DIFFERENTIATION_VTAR_ID,0))</f>
        <v>Тарифы на услуги по передаче теплоносителя</v>
      </c>
      <c r="G39" s="2612" t="str">
        <f>INDEX(PT_DIFFERENTIATION_NTAR,MATCH(B39,PT_DIFFERENTIATION_NTAR_ID,0))</f>
        <v/>
      </c>
      <c r="H39" s="1787"/>
      <c r="I39" s="1665"/>
      <c r="J39" s="1699"/>
      <c r="K39" s="1790"/>
      <c r="L39" s="1787" t="s">
        <v>313</v>
      </c>
      <c r="M39" s="2379"/>
      <c r="N39" s="272"/>
      <c r="O39" s="1551"/>
      <c r="P39" s="1551"/>
      <c r="AH39" s="1558">
        <v>0</v>
      </c>
    </row>
    <row r="40" spans="1:34" s="1562" customFormat="1" ht="18.75" hidden="1" customHeight="1">
      <c r="A40" s="1706"/>
      <c r="B40" s="1706"/>
      <c r="C40" s="306" t="s">
        <v>1152</v>
      </c>
      <c r="D40" s="2637"/>
      <c r="E40" s="2424"/>
      <c r="F40" s="2575"/>
      <c r="G40" s="2612"/>
      <c r="H40" s="1427"/>
      <c r="I40" s="588" t="s">
        <v>1153</v>
      </c>
      <c r="J40" s="508"/>
      <c r="K40" s="1427"/>
      <c r="L40" s="152"/>
      <c r="M40" s="2379"/>
      <c r="N40" s="272"/>
      <c r="O40" s="1551"/>
      <c r="P40" s="1551"/>
      <c r="AH40" s="1558">
        <v>0</v>
      </c>
    </row>
    <row r="41" spans="1:34" s="1562" customFormat="1" ht="0.75" hidden="1" customHeight="1">
      <c r="A41" s="1706"/>
      <c r="B41" s="1706"/>
      <c r="C41" s="306" t="s">
        <v>1158</v>
      </c>
      <c r="D41" s="2637"/>
      <c r="E41" s="2424"/>
      <c r="F41" s="2575"/>
      <c r="G41" s="337"/>
      <c r="H41" s="1427"/>
      <c r="I41" s="588"/>
      <c r="J41" s="508"/>
      <c r="K41" s="1427"/>
      <c r="L41" s="152"/>
      <c r="M41" s="2379"/>
      <c r="N41" s="272"/>
      <c r="O41" s="1551"/>
      <c r="P41" s="1551"/>
      <c r="AH41" s="1558">
        <v>0</v>
      </c>
    </row>
    <row r="42" spans="1:34" s="1562" customFormat="1" ht="18.75" hidden="1" customHeight="1">
      <c r="A42" s="1706" t="s">
        <v>200</v>
      </c>
      <c r="B42" s="1706" t="s">
        <v>201</v>
      </c>
      <c r="C42" s="306"/>
      <c r="D42" s="2637"/>
      <c r="E42" s="2424"/>
      <c r="F42" s="2575" t="str">
        <f>INDEX(PT_DIFFERENTIATION_VTAR,MATCH(A42,PT_DIFFERENTIATION_VTAR_ID,0))</f>
        <v>Плата за услуги по поддержанию резервной тепловой мощности при отсутствии потребления тепловой энергии</v>
      </c>
      <c r="G42" s="2612" t="str">
        <f>INDEX(PT_DIFFERENTIATION_NTAR,MATCH(B42,PT_DIFFERENTIATION_NTAR_ID,0))</f>
        <v/>
      </c>
      <c r="H42" s="1787"/>
      <c r="I42" s="1665"/>
      <c r="J42" s="1699"/>
      <c r="K42" s="1790"/>
      <c r="L42" s="1787" t="s">
        <v>313</v>
      </c>
      <c r="M42" s="2379"/>
      <c r="N42" s="272"/>
      <c r="O42" s="1551"/>
      <c r="P42" s="1551"/>
      <c r="AH42" s="1558">
        <v>0</v>
      </c>
    </row>
    <row r="43" spans="1:34" s="1562" customFormat="1" ht="18.75" hidden="1" customHeight="1">
      <c r="A43" s="1706"/>
      <c r="B43" s="1706"/>
      <c r="C43" s="306" t="s">
        <v>1152</v>
      </c>
      <c r="D43" s="2637"/>
      <c r="E43" s="2424"/>
      <c r="F43" s="2575"/>
      <c r="G43" s="2612"/>
      <c r="H43" s="1427"/>
      <c r="I43" s="588" t="s">
        <v>1153</v>
      </c>
      <c r="J43" s="508"/>
      <c r="K43" s="1427"/>
      <c r="L43" s="152"/>
      <c r="M43" s="2379"/>
      <c r="N43" s="272"/>
      <c r="O43" s="1551"/>
      <c r="P43" s="1551"/>
      <c r="AH43" s="1558">
        <v>0</v>
      </c>
    </row>
    <row r="44" spans="1:34" s="1562" customFormat="1" ht="0.75" hidden="1" customHeight="1">
      <c r="A44" s="1706"/>
      <c r="B44" s="1706"/>
      <c r="C44" s="306" t="s">
        <v>1158</v>
      </c>
      <c r="D44" s="2637"/>
      <c r="E44" s="2424"/>
      <c r="F44" s="2575"/>
      <c r="G44" s="337"/>
      <c r="H44" s="1427"/>
      <c r="I44" s="588"/>
      <c r="J44" s="508"/>
      <c r="K44" s="1427"/>
      <c r="L44" s="152"/>
      <c r="M44" s="2379"/>
      <c r="N44" s="272"/>
      <c r="O44" s="1551"/>
      <c r="P44" s="1551"/>
      <c r="AH44" s="1558">
        <v>0</v>
      </c>
    </row>
    <row r="45" spans="1:34" s="1562" customFormat="1" ht="18.75" hidden="1" customHeight="1">
      <c r="A45" s="1706" t="s">
        <v>206</v>
      </c>
      <c r="B45" s="1706" t="s">
        <v>207</v>
      </c>
      <c r="C45" s="306"/>
      <c r="D45" s="2637"/>
      <c r="E45" s="2424"/>
      <c r="F45" s="2575" t="str">
        <f>INDEX(PT_DIFFERENTIATION_VTAR,MATCH(A45,PT_DIFFERENTIATION_VTAR_ID,0))</f>
        <v>Плата за подключение (технологическое присоединение) к системе теплоснабжения</v>
      </c>
      <c r="G45" s="2612" t="str">
        <f>INDEX(PT_DIFFERENTIATION_NTAR,MATCH(B45,PT_DIFFERENTIATION_NTAR_ID,0))</f>
        <v/>
      </c>
      <c r="H45" s="1787"/>
      <c r="I45" s="1665"/>
      <c r="J45" s="1699"/>
      <c r="K45" s="1790"/>
      <c r="L45" s="1787" t="s">
        <v>313</v>
      </c>
      <c r="M45" s="2379"/>
      <c r="N45" s="272"/>
      <c r="O45" s="1551"/>
      <c r="P45" s="1551"/>
      <c r="AH45" s="1558">
        <v>0</v>
      </c>
    </row>
    <row r="46" spans="1:34" s="1562" customFormat="1" ht="18.75" hidden="1" customHeight="1">
      <c r="A46" s="1706"/>
      <c r="B46" s="1706"/>
      <c r="C46" s="306" t="s">
        <v>1152</v>
      </c>
      <c r="D46" s="2637"/>
      <c r="E46" s="2424"/>
      <c r="F46" s="2575"/>
      <c r="G46" s="2612"/>
      <c r="H46" s="1427"/>
      <c r="I46" s="588" t="s">
        <v>1153</v>
      </c>
      <c r="J46" s="508"/>
      <c r="K46" s="1427"/>
      <c r="L46" s="152"/>
      <c r="M46" s="2379"/>
      <c r="N46" s="272"/>
      <c r="O46" s="1551"/>
      <c r="P46" s="1551"/>
      <c r="AH46" s="1558">
        <v>0</v>
      </c>
    </row>
    <row r="47" spans="1:34" s="1562" customFormat="1" ht="0.75" hidden="1" customHeight="1">
      <c r="A47" s="1706"/>
      <c r="B47" s="1706"/>
      <c r="C47" s="306" t="s">
        <v>1158</v>
      </c>
      <c r="D47" s="2637"/>
      <c r="E47" s="2424"/>
      <c r="F47" s="2575"/>
      <c r="G47" s="337"/>
      <c r="H47" s="1427"/>
      <c r="I47" s="588"/>
      <c r="J47" s="508"/>
      <c r="K47" s="1427"/>
      <c r="L47" s="152"/>
      <c r="M47" s="2379"/>
      <c r="N47" s="272"/>
      <c r="O47" s="1551"/>
      <c r="P47" s="1551"/>
      <c r="AH47" s="1558">
        <v>0</v>
      </c>
    </row>
    <row r="48" spans="1:34" s="1562" customFormat="1" ht="18.75" hidden="1" customHeight="1">
      <c r="A48" s="1706" t="s">
        <v>212</v>
      </c>
      <c r="B48" s="1706" t="s">
        <v>213</v>
      </c>
      <c r="C48" s="306"/>
      <c r="D48" s="2637"/>
      <c r="E48" s="2424"/>
      <c r="F48" s="2575" t="str">
        <f>INDEX(PT_DIFFERENTIATION_VTAR,MATCH(A48,PT_DIFFERENTIATION_VTAR_ID,0))</f>
        <v>Плата за подключение (технологическое присоединение) к системе теплоснабжения (индивидуальная)</v>
      </c>
      <c r="G48" s="2612" t="str">
        <f>INDEX(PT_DIFFERENTIATION_NTAR,MATCH(B48,PT_DIFFERENTIATION_NTAR_ID,0))</f>
        <v/>
      </c>
      <c r="H48" s="1911"/>
      <c r="I48" s="1665"/>
      <c r="J48" s="1699"/>
      <c r="K48" s="1790"/>
      <c r="L48" s="1911" t="s">
        <v>313</v>
      </c>
      <c r="M48" s="2379"/>
      <c r="N48" s="272"/>
      <c r="O48" s="1551"/>
      <c r="P48" s="1551"/>
      <c r="AH48" s="1558">
        <v>0</v>
      </c>
    </row>
    <row r="49" spans="1:34" s="1562" customFormat="1" ht="18.75" hidden="1" customHeight="1">
      <c r="A49" s="1706"/>
      <c r="B49" s="1706"/>
      <c r="C49" s="306" t="s">
        <v>1152</v>
      </c>
      <c r="D49" s="2637"/>
      <c r="E49" s="2424"/>
      <c r="F49" s="2575"/>
      <c r="G49" s="2612"/>
      <c r="H49" s="1427"/>
      <c r="I49" s="588" t="s">
        <v>1153</v>
      </c>
      <c r="J49" s="508"/>
      <c r="K49" s="1427"/>
      <c r="L49" s="152"/>
      <c r="M49" s="2379"/>
      <c r="N49" s="272"/>
      <c r="O49" s="1551"/>
      <c r="P49" s="1551"/>
      <c r="AH49" s="1558">
        <v>0</v>
      </c>
    </row>
    <row r="50" spans="1:34" s="1562" customFormat="1" ht="0.75" hidden="1" customHeight="1">
      <c r="A50" s="1706"/>
      <c r="B50" s="1706"/>
      <c r="C50" s="306" t="s">
        <v>1158</v>
      </c>
      <c r="D50" s="2637"/>
      <c r="E50" s="2424"/>
      <c r="F50" s="2575"/>
      <c r="G50" s="337"/>
      <c r="H50" s="1427"/>
      <c r="I50" s="588"/>
      <c r="J50" s="508"/>
      <c r="K50" s="1427"/>
      <c r="L50" s="152"/>
      <c r="M50" s="2379"/>
      <c r="N50" s="272"/>
      <c r="O50" s="1551"/>
      <c r="P50" s="1551"/>
      <c r="AH50" s="1558">
        <v>0</v>
      </c>
    </row>
    <row r="51" spans="1:34" s="1562" customFormat="1" ht="18.75" hidden="1" customHeight="1">
      <c r="A51" s="1706" t="s">
        <v>232</v>
      </c>
      <c r="B51" s="1706" t="s">
        <v>233</v>
      </c>
      <c r="C51" s="306"/>
      <c r="D51" s="2637"/>
      <c r="E51" s="2424"/>
      <c r="F51" s="2575" t="str">
        <f>INDEX(PT_DIFFERENTIATION_VTAR,MATCH(A51,PT_DIFFERENTIATION_VTAR_ID,0))</f>
        <v>Тариф на питьевую воду (питьевое водоснабжение)</v>
      </c>
      <c r="G51" s="2612" t="str">
        <f>INDEX(PT_DIFFERENTIATION_NTAR,MATCH(B51,PT_DIFFERENTIATION_NTAR_ID,0))</f>
        <v/>
      </c>
      <c r="H51" s="1787"/>
      <c r="I51" s="1665"/>
      <c r="J51" s="1699"/>
      <c r="K51" s="1790"/>
      <c r="L51" s="1787" t="s">
        <v>313</v>
      </c>
      <c r="M51" s="2379"/>
      <c r="N51" s="272"/>
      <c r="O51" s="1551"/>
      <c r="P51" s="1551"/>
      <c r="AH51" s="1558">
        <v>0</v>
      </c>
    </row>
    <row r="52" spans="1:34" s="1562" customFormat="1" ht="18.75" hidden="1" customHeight="1">
      <c r="A52" s="1706"/>
      <c r="B52" s="1706"/>
      <c r="C52" s="306" t="s">
        <v>1152</v>
      </c>
      <c r="D52" s="2637"/>
      <c r="E52" s="2424"/>
      <c r="F52" s="2575"/>
      <c r="G52" s="2612"/>
      <c r="H52" s="1427"/>
      <c r="I52" s="588" t="s">
        <v>1153</v>
      </c>
      <c r="J52" s="508"/>
      <c r="K52" s="1427"/>
      <c r="L52" s="152"/>
      <c r="M52" s="2379"/>
      <c r="N52" s="272"/>
      <c r="O52" s="1551"/>
      <c r="P52" s="1551"/>
      <c r="AH52" s="1558">
        <v>0</v>
      </c>
    </row>
    <row r="53" spans="1:34" s="1562" customFormat="1" ht="0.75" hidden="1" customHeight="1">
      <c r="A53" s="1706"/>
      <c r="B53" s="1706"/>
      <c r="C53" s="306" t="s">
        <v>1158</v>
      </c>
      <c r="D53" s="2637"/>
      <c r="E53" s="2424"/>
      <c r="F53" s="2575"/>
      <c r="G53" s="337"/>
      <c r="H53" s="1427"/>
      <c r="I53" s="588"/>
      <c r="J53" s="508"/>
      <c r="K53" s="1427"/>
      <c r="L53" s="152"/>
      <c r="M53" s="2379"/>
      <c r="N53" s="272"/>
      <c r="O53" s="1551"/>
      <c r="P53" s="1551"/>
      <c r="AH53" s="1558">
        <v>0</v>
      </c>
    </row>
    <row r="54" spans="1:34" s="1562" customFormat="1" ht="18.75" hidden="1" customHeight="1">
      <c r="A54" s="1706" t="s">
        <v>237</v>
      </c>
      <c r="B54" s="1706" t="s">
        <v>238</v>
      </c>
      <c r="C54" s="306"/>
      <c r="D54" s="2637"/>
      <c r="E54" s="2424"/>
      <c r="F54" s="2575" t="str">
        <f>INDEX(PT_DIFFERENTIATION_VTAR,MATCH(A54,PT_DIFFERENTIATION_VTAR_ID,0))</f>
        <v>Тариф на техническую воду</v>
      </c>
      <c r="G54" s="2612" t="str">
        <f>INDEX(PT_DIFFERENTIATION_NTAR,MATCH(B54,PT_DIFFERENTIATION_NTAR_ID,0))</f>
        <v/>
      </c>
      <c r="H54" s="1787"/>
      <c r="I54" s="1665"/>
      <c r="J54" s="1699"/>
      <c r="K54" s="1790"/>
      <c r="L54" s="1787" t="s">
        <v>313</v>
      </c>
      <c r="M54" s="2379"/>
      <c r="N54" s="272"/>
      <c r="O54" s="1551"/>
      <c r="P54" s="1551"/>
      <c r="AH54" s="1558">
        <v>0</v>
      </c>
    </row>
    <row r="55" spans="1:34" s="1562" customFormat="1" ht="18.75" hidden="1" customHeight="1">
      <c r="A55" s="1706"/>
      <c r="B55" s="1706"/>
      <c r="C55" s="306" t="s">
        <v>1152</v>
      </c>
      <c r="D55" s="2637"/>
      <c r="E55" s="2424"/>
      <c r="F55" s="2575"/>
      <c r="G55" s="2612"/>
      <c r="H55" s="1427"/>
      <c r="I55" s="588" t="s">
        <v>1153</v>
      </c>
      <c r="J55" s="508"/>
      <c r="K55" s="1427"/>
      <c r="L55" s="152"/>
      <c r="M55" s="2379"/>
      <c r="N55" s="272"/>
      <c r="O55" s="1551"/>
      <c r="P55" s="1551"/>
      <c r="AH55" s="1558">
        <v>0</v>
      </c>
    </row>
    <row r="56" spans="1:34" s="1562" customFormat="1" ht="0.75" hidden="1" customHeight="1">
      <c r="A56" s="1706"/>
      <c r="B56" s="1706"/>
      <c r="C56" s="306" t="s">
        <v>1158</v>
      </c>
      <c r="D56" s="2637"/>
      <c r="E56" s="2424"/>
      <c r="F56" s="2575"/>
      <c r="G56" s="337"/>
      <c r="H56" s="1427"/>
      <c r="I56" s="588"/>
      <c r="J56" s="508"/>
      <c r="K56" s="1427"/>
      <c r="L56" s="152"/>
      <c r="M56" s="2379"/>
      <c r="N56" s="272"/>
      <c r="O56" s="1551"/>
      <c r="P56" s="1551"/>
      <c r="AH56" s="1558">
        <v>0</v>
      </c>
    </row>
    <row r="57" spans="1:34" s="1562" customFormat="1" ht="18.75" hidden="1" customHeight="1">
      <c r="A57" s="1706" t="s">
        <v>242</v>
      </c>
      <c r="B57" s="1706" t="s">
        <v>243</v>
      </c>
      <c r="C57" s="306"/>
      <c r="D57" s="2637"/>
      <c r="E57" s="2424"/>
      <c r="F57" s="2575" t="str">
        <f>INDEX(PT_DIFFERENTIATION_VTAR,MATCH(A57,PT_DIFFERENTIATION_VTAR_ID,0))</f>
        <v>Тариф на транспортировку воды</v>
      </c>
      <c r="G57" s="2612" t="str">
        <f>INDEX(PT_DIFFERENTIATION_NTAR,MATCH(B57,PT_DIFFERENTIATION_NTAR_ID,0))</f>
        <v/>
      </c>
      <c r="H57" s="1787"/>
      <c r="I57" s="1665"/>
      <c r="J57" s="1699"/>
      <c r="K57" s="1790"/>
      <c r="L57" s="1787" t="s">
        <v>313</v>
      </c>
      <c r="M57" s="2379"/>
      <c r="N57" s="272"/>
      <c r="O57" s="1551"/>
      <c r="P57" s="1551"/>
      <c r="AH57" s="1558">
        <v>0</v>
      </c>
    </row>
    <row r="58" spans="1:34" s="1562" customFormat="1" ht="18.75" hidden="1" customHeight="1">
      <c r="A58" s="1706"/>
      <c r="B58" s="1706"/>
      <c r="C58" s="306" t="s">
        <v>1152</v>
      </c>
      <c r="D58" s="2637"/>
      <c r="E58" s="2424"/>
      <c r="F58" s="2575"/>
      <c r="G58" s="2612"/>
      <c r="H58" s="1427"/>
      <c r="I58" s="588" t="s">
        <v>1153</v>
      </c>
      <c r="J58" s="508"/>
      <c r="K58" s="1427"/>
      <c r="L58" s="152"/>
      <c r="M58" s="2379"/>
      <c r="N58" s="272"/>
      <c r="O58" s="1551"/>
      <c r="P58" s="1551"/>
      <c r="AH58" s="1558">
        <v>0</v>
      </c>
    </row>
    <row r="59" spans="1:34" s="1562" customFormat="1" ht="0.75" hidden="1" customHeight="1">
      <c r="A59" s="1706"/>
      <c r="B59" s="1706"/>
      <c r="C59" s="306" t="s">
        <v>1158</v>
      </c>
      <c r="D59" s="2637"/>
      <c r="E59" s="2424"/>
      <c r="F59" s="2575"/>
      <c r="G59" s="337"/>
      <c r="H59" s="1427"/>
      <c r="I59" s="588"/>
      <c r="J59" s="508"/>
      <c r="K59" s="1427"/>
      <c r="L59" s="152"/>
      <c r="M59" s="2379"/>
      <c r="N59" s="272"/>
      <c r="O59" s="1551"/>
      <c r="P59" s="1551"/>
      <c r="AH59" s="1558">
        <v>0</v>
      </c>
    </row>
    <row r="60" spans="1:34" s="1562" customFormat="1" ht="18.75" hidden="1" customHeight="1">
      <c r="A60" s="1706" t="s">
        <v>247</v>
      </c>
      <c r="B60" s="1706" t="s">
        <v>248</v>
      </c>
      <c r="C60" s="306"/>
      <c r="D60" s="2637"/>
      <c r="E60" s="2424"/>
      <c r="F60" s="2575" t="str">
        <f>INDEX(PT_DIFFERENTIATION_VTAR,MATCH(A60,PT_DIFFERENTIATION_VTAR_ID,0))</f>
        <v>Тариф на подвоз воды</v>
      </c>
      <c r="G60" s="2612" t="str">
        <f>INDEX(PT_DIFFERENTIATION_NTAR,MATCH(B60,PT_DIFFERENTIATION_NTAR_ID,0))</f>
        <v/>
      </c>
      <c r="H60" s="1787"/>
      <c r="I60" s="1665"/>
      <c r="J60" s="1699"/>
      <c r="K60" s="1790"/>
      <c r="L60" s="1787" t="s">
        <v>313</v>
      </c>
      <c r="M60" s="2379"/>
      <c r="N60" s="272"/>
      <c r="O60" s="1551"/>
      <c r="P60" s="1551"/>
      <c r="AH60" s="1558">
        <v>0</v>
      </c>
    </row>
    <row r="61" spans="1:34" s="1562" customFormat="1" ht="18.75" hidden="1" customHeight="1">
      <c r="A61" s="1706"/>
      <c r="B61" s="1706"/>
      <c r="C61" s="306" t="s">
        <v>1152</v>
      </c>
      <c r="D61" s="2637"/>
      <c r="E61" s="2424"/>
      <c r="F61" s="2575"/>
      <c r="G61" s="2612"/>
      <c r="H61" s="1427"/>
      <c r="I61" s="588" t="s">
        <v>1153</v>
      </c>
      <c r="J61" s="508"/>
      <c r="K61" s="1427"/>
      <c r="L61" s="152"/>
      <c r="M61" s="2379"/>
      <c r="N61" s="272"/>
      <c r="O61" s="1551"/>
      <c r="P61" s="1551"/>
      <c r="AH61" s="1558">
        <v>0</v>
      </c>
    </row>
    <row r="62" spans="1:34" s="1562" customFormat="1" ht="0.75" hidden="1" customHeight="1">
      <c r="A62" s="1706"/>
      <c r="B62" s="1706"/>
      <c r="C62" s="306" t="s">
        <v>1158</v>
      </c>
      <c r="D62" s="2637"/>
      <c r="E62" s="2424"/>
      <c r="F62" s="2575"/>
      <c r="G62" s="337"/>
      <c r="H62" s="1427"/>
      <c r="I62" s="588"/>
      <c r="J62" s="508"/>
      <c r="K62" s="1427"/>
      <c r="L62" s="152"/>
      <c r="M62" s="2379"/>
      <c r="N62" s="272"/>
      <c r="O62" s="1551"/>
      <c r="P62" s="1551"/>
      <c r="AH62" s="1558">
        <v>0</v>
      </c>
    </row>
    <row r="63" spans="1:34" s="1562" customFormat="1" ht="18.75" hidden="1" customHeight="1">
      <c r="A63" s="1706" t="s">
        <v>252</v>
      </c>
      <c r="B63" s="1706" t="s">
        <v>253</v>
      </c>
      <c r="C63" s="306"/>
      <c r="D63" s="2637"/>
      <c r="E63" s="2424"/>
      <c r="F63" s="257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12" t="str">
        <f>INDEX(PT_DIFFERENTIATION_NTAR,MATCH(B63,PT_DIFFERENTIATION_NTAR_ID,0))</f>
        <v/>
      </c>
      <c r="H63" s="1787"/>
      <c r="I63" s="1665"/>
      <c r="J63" s="1699"/>
      <c r="K63" s="1790"/>
      <c r="L63" s="1787" t="s">
        <v>313</v>
      </c>
      <c r="M63" s="2379"/>
      <c r="N63" s="272"/>
      <c r="O63" s="1551"/>
      <c r="P63" s="1551"/>
      <c r="AH63" s="1558">
        <v>0</v>
      </c>
    </row>
    <row r="64" spans="1:34" s="1562" customFormat="1" ht="18.75" hidden="1" customHeight="1">
      <c r="A64" s="1706"/>
      <c r="B64" s="1706"/>
      <c r="C64" s="306" t="s">
        <v>1152</v>
      </c>
      <c r="D64" s="2637"/>
      <c r="E64" s="2424"/>
      <c r="F64" s="2575"/>
      <c r="G64" s="2612"/>
      <c r="H64" s="1427"/>
      <c r="I64" s="588" t="s">
        <v>1153</v>
      </c>
      <c r="J64" s="508"/>
      <c r="K64" s="1427"/>
      <c r="L64" s="152"/>
      <c r="M64" s="2379"/>
      <c r="N64" s="272"/>
      <c r="O64" s="1551"/>
      <c r="P64" s="1551"/>
      <c r="AH64" s="1558">
        <v>0</v>
      </c>
    </row>
    <row r="65" spans="1:34" s="1562" customFormat="1" ht="0.75" hidden="1" customHeight="1">
      <c r="A65" s="1706"/>
      <c r="B65" s="1706"/>
      <c r="C65" s="306" t="s">
        <v>1158</v>
      </c>
      <c r="D65" s="2637"/>
      <c r="E65" s="2424"/>
      <c r="F65" s="2575"/>
      <c r="G65" s="337"/>
      <c r="H65" s="1427"/>
      <c r="I65" s="588"/>
      <c r="J65" s="508"/>
      <c r="K65" s="1427"/>
      <c r="L65" s="152"/>
      <c r="M65" s="2379"/>
      <c r="N65" s="272"/>
      <c r="O65" s="1551"/>
      <c r="P65" s="1551"/>
      <c r="AH65" s="1558">
        <v>0</v>
      </c>
    </row>
    <row r="66" spans="1:34" s="1562" customFormat="1" ht="18.75" hidden="1" customHeight="1">
      <c r="A66" s="1706" t="s">
        <v>257</v>
      </c>
      <c r="B66" s="1706" t="s">
        <v>258</v>
      </c>
      <c r="C66" s="306"/>
      <c r="D66" s="2637"/>
      <c r="E66" s="2424"/>
      <c r="F66" s="2575" t="str">
        <f>INDEX(PT_DIFFERENTIATION_VTAR,MATCH(A66,PT_DIFFERENTIATION_VTAR_ID,0))</f>
        <v>Тариф на горячую воду (горячее водоснабжение)</v>
      </c>
      <c r="G66" s="2612" t="str">
        <f>INDEX(PT_DIFFERENTIATION_NTAR,MATCH(B66,PT_DIFFERENTIATION_NTAR_ID,0))</f>
        <v/>
      </c>
      <c r="H66" s="1787"/>
      <c r="I66" s="1665"/>
      <c r="J66" s="1699"/>
      <c r="K66" s="1790"/>
      <c r="L66" s="1787" t="s">
        <v>313</v>
      </c>
      <c r="M66" s="2379"/>
      <c r="N66" s="272"/>
      <c r="O66" s="1551"/>
      <c r="P66" s="1551"/>
      <c r="AH66" s="1558">
        <v>0</v>
      </c>
    </row>
    <row r="67" spans="1:34" s="1562" customFormat="1" ht="18.75" hidden="1" customHeight="1">
      <c r="A67" s="1706"/>
      <c r="B67" s="1706"/>
      <c r="C67" s="306" t="s">
        <v>1152</v>
      </c>
      <c r="D67" s="2637"/>
      <c r="E67" s="2424"/>
      <c r="F67" s="2575"/>
      <c r="G67" s="2612"/>
      <c r="H67" s="1427"/>
      <c r="I67" s="588" t="s">
        <v>1153</v>
      </c>
      <c r="J67" s="508"/>
      <c r="K67" s="1427"/>
      <c r="L67" s="152"/>
      <c r="M67" s="2379"/>
      <c r="N67" s="272"/>
      <c r="O67" s="1551"/>
      <c r="P67" s="1551"/>
      <c r="AH67" s="1558">
        <v>0</v>
      </c>
    </row>
    <row r="68" spans="1:34" s="1562" customFormat="1" ht="0.75" hidden="1" customHeight="1">
      <c r="A68" s="1706"/>
      <c r="B68" s="1706"/>
      <c r="C68" s="306" t="s">
        <v>1158</v>
      </c>
      <c r="D68" s="2637"/>
      <c r="E68" s="2424"/>
      <c r="F68" s="2575"/>
      <c r="G68" s="337"/>
      <c r="H68" s="1427"/>
      <c r="I68" s="588"/>
      <c r="J68" s="508"/>
      <c r="K68" s="1427"/>
      <c r="L68" s="152"/>
      <c r="M68" s="2379"/>
      <c r="N68" s="272"/>
      <c r="O68" s="1551"/>
      <c r="P68" s="1551"/>
      <c r="AH68" s="1558">
        <v>0</v>
      </c>
    </row>
    <row r="69" spans="1:34" s="1562" customFormat="1" ht="18.75" hidden="1" customHeight="1">
      <c r="A69" s="1706" t="s">
        <v>262</v>
      </c>
      <c r="B69" s="1706" t="s">
        <v>263</v>
      </c>
      <c r="C69" s="306"/>
      <c r="D69" s="2637"/>
      <c r="E69" s="2424"/>
      <c r="F69" s="2575" t="str">
        <f>INDEX(PT_DIFFERENTIATION_VTAR,MATCH(A69,PT_DIFFERENTIATION_VTAR_ID,0))</f>
        <v>Тариф на транспортировку горячей воды</v>
      </c>
      <c r="G69" s="2612" t="str">
        <f>INDEX(PT_DIFFERENTIATION_NTAR,MATCH(B69,PT_DIFFERENTIATION_NTAR_ID,0))</f>
        <v/>
      </c>
      <c r="H69" s="1787"/>
      <c r="I69" s="1665"/>
      <c r="J69" s="1699"/>
      <c r="K69" s="1790"/>
      <c r="L69" s="1787" t="s">
        <v>313</v>
      </c>
      <c r="M69" s="2379"/>
      <c r="N69" s="272"/>
      <c r="O69" s="1551"/>
      <c r="P69" s="1551"/>
      <c r="AH69" s="1558">
        <v>0</v>
      </c>
    </row>
    <row r="70" spans="1:34" s="1562" customFormat="1" ht="18.75" hidden="1" customHeight="1">
      <c r="A70" s="1706"/>
      <c r="B70" s="1706"/>
      <c r="C70" s="306" t="s">
        <v>1152</v>
      </c>
      <c r="D70" s="2637"/>
      <c r="E70" s="2424"/>
      <c r="F70" s="2575"/>
      <c r="G70" s="2612"/>
      <c r="H70" s="1427"/>
      <c r="I70" s="588" t="s">
        <v>1153</v>
      </c>
      <c r="J70" s="508"/>
      <c r="K70" s="1427"/>
      <c r="L70" s="152"/>
      <c r="M70" s="2379"/>
      <c r="N70" s="272"/>
      <c r="O70" s="1551"/>
      <c r="P70" s="1551"/>
      <c r="AH70" s="1558">
        <v>0</v>
      </c>
    </row>
    <row r="71" spans="1:34" s="1562" customFormat="1" ht="0.75" hidden="1" customHeight="1">
      <c r="A71" s="1706"/>
      <c r="B71" s="1706"/>
      <c r="C71" s="306" t="s">
        <v>1158</v>
      </c>
      <c r="D71" s="2637"/>
      <c r="E71" s="2424"/>
      <c r="F71" s="2575"/>
      <c r="G71" s="337"/>
      <c r="H71" s="1427"/>
      <c r="I71" s="588"/>
      <c r="J71" s="508"/>
      <c r="K71" s="1427"/>
      <c r="L71" s="152"/>
      <c r="M71" s="2379"/>
      <c r="N71" s="272"/>
      <c r="O71" s="1551"/>
      <c r="P71" s="1551"/>
      <c r="AH71" s="1558">
        <v>0</v>
      </c>
    </row>
    <row r="72" spans="1:34" s="1562" customFormat="1" ht="18.75" hidden="1" customHeight="1">
      <c r="A72" s="1706" t="s">
        <v>267</v>
      </c>
      <c r="B72" s="1706" t="s">
        <v>268</v>
      </c>
      <c r="C72" s="306"/>
      <c r="D72" s="2637"/>
      <c r="E72" s="2424"/>
      <c r="F72" s="2575" t="str">
        <f>INDEX(PT_DIFFERENTIATION_VTAR,MATCH(A72,PT_DIFFERENTIATION_VTAR_ID,0))</f>
        <v>Тариф на подключение (технологическое присоединение) к централизованной системе горячего водоснабжения</v>
      </c>
      <c r="G72" s="2612" t="str">
        <f>INDEX(PT_DIFFERENTIATION_NTAR,MATCH(B72,PT_DIFFERENTIATION_NTAR_ID,0))</f>
        <v/>
      </c>
      <c r="H72" s="1787"/>
      <c r="I72" s="1665"/>
      <c r="J72" s="1699"/>
      <c r="K72" s="1790"/>
      <c r="L72" s="1787" t="s">
        <v>313</v>
      </c>
      <c r="M72" s="2379"/>
      <c r="N72" s="272"/>
      <c r="O72" s="1551"/>
      <c r="P72" s="1551"/>
      <c r="AH72" s="1558">
        <v>0</v>
      </c>
    </row>
    <row r="73" spans="1:34" s="1562" customFormat="1" ht="18.75" hidden="1" customHeight="1">
      <c r="A73" s="1706"/>
      <c r="B73" s="1706"/>
      <c r="C73" s="306" t="s">
        <v>1152</v>
      </c>
      <c r="D73" s="2637"/>
      <c r="E73" s="2424"/>
      <c r="F73" s="2575"/>
      <c r="G73" s="2612"/>
      <c r="H73" s="1427"/>
      <c r="I73" s="588" t="s">
        <v>1153</v>
      </c>
      <c r="J73" s="508"/>
      <c r="K73" s="1427"/>
      <c r="L73" s="152"/>
      <c r="M73" s="2379"/>
      <c r="N73" s="272"/>
      <c r="O73" s="1551"/>
      <c r="P73" s="1551"/>
      <c r="AH73" s="1558">
        <v>0</v>
      </c>
    </row>
    <row r="74" spans="1:34" s="1562" customFormat="1" ht="0.75" hidden="1" customHeight="1">
      <c r="A74" s="1706"/>
      <c r="B74" s="1706"/>
      <c r="C74" s="306" t="s">
        <v>1158</v>
      </c>
      <c r="D74" s="2637"/>
      <c r="E74" s="2424"/>
      <c r="F74" s="2575"/>
      <c r="G74" s="337"/>
      <c r="H74" s="1427"/>
      <c r="I74" s="588"/>
      <c r="J74" s="508"/>
      <c r="K74" s="1427"/>
      <c r="L74" s="152"/>
      <c r="M74" s="2379"/>
      <c r="N74" s="272"/>
      <c r="O74" s="1551"/>
      <c r="P74" s="1551"/>
      <c r="AH74" s="1558">
        <v>0</v>
      </c>
    </row>
    <row r="75" spans="1:34" s="1562" customFormat="1" ht="18.75" hidden="1" customHeight="1">
      <c r="A75" s="1706" t="s">
        <v>272</v>
      </c>
      <c r="B75" s="1706" t="s">
        <v>273</v>
      </c>
      <c r="C75" s="306"/>
      <c r="D75" s="2637"/>
      <c r="E75" s="2424"/>
      <c r="F75" s="2575" t="str">
        <f>INDEX(PT_DIFFERENTIATION_VTAR,MATCH(A75,PT_DIFFERENTIATION_VTAR_ID,0))</f>
        <v>Тариф на водоотведение</v>
      </c>
      <c r="G75" s="2612" t="str">
        <f>INDEX(PT_DIFFERENTIATION_NTAR,MATCH(B75,PT_DIFFERENTIATION_NTAR_ID,0))</f>
        <v/>
      </c>
      <c r="H75" s="1787"/>
      <c r="I75" s="1665"/>
      <c r="J75" s="1699"/>
      <c r="K75" s="1790"/>
      <c r="L75" s="1787" t="s">
        <v>313</v>
      </c>
      <c r="M75" s="2379"/>
      <c r="N75" s="272"/>
      <c r="O75" s="1551"/>
      <c r="P75" s="1551"/>
      <c r="AH75" s="1558">
        <v>0</v>
      </c>
    </row>
    <row r="76" spans="1:34" s="1562" customFormat="1" ht="18.75" hidden="1" customHeight="1">
      <c r="A76" s="1706"/>
      <c r="B76" s="1706"/>
      <c r="C76" s="306" t="s">
        <v>1152</v>
      </c>
      <c r="D76" s="2637"/>
      <c r="E76" s="2424"/>
      <c r="F76" s="2575"/>
      <c r="G76" s="2612"/>
      <c r="H76" s="1427"/>
      <c r="I76" s="588" t="s">
        <v>1153</v>
      </c>
      <c r="J76" s="508"/>
      <c r="K76" s="1427"/>
      <c r="L76" s="152"/>
      <c r="M76" s="2379"/>
      <c r="N76" s="272"/>
      <c r="O76" s="1551"/>
      <c r="P76" s="1551"/>
      <c r="AH76" s="1558">
        <v>0</v>
      </c>
    </row>
    <row r="77" spans="1:34" s="1562" customFormat="1" ht="0.75" hidden="1" customHeight="1">
      <c r="A77" s="1706"/>
      <c r="B77" s="1706"/>
      <c r="C77" s="306" t="s">
        <v>1158</v>
      </c>
      <c r="D77" s="2637"/>
      <c r="E77" s="2424"/>
      <c r="F77" s="2575"/>
      <c r="G77" s="337"/>
      <c r="H77" s="1427"/>
      <c r="I77" s="588"/>
      <c r="J77" s="508"/>
      <c r="K77" s="1427"/>
      <c r="L77" s="152"/>
      <c r="M77" s="2379"/>
      <c r="N77" s="272"/>
      <c r="O77" s="1551"/>
      <c r="P77" s="1551"/>
      <c r="AH77" s="1558">
        <v>0</v>
      </c>
    </row>
    <row r="78" spans="1:34" s="1562" customFormat="1" ht="18.75" hidden="1" customHeight="1">
      <c r="A78" s="1706" t="s">
        <v>277</v>
      </c>
      <c r="B78" s="1706" t="s">
        <v>278</v>
      </c>
      <c r="C78" s="306"/>
      <c r="D78" s="2637"/>
      <c r="E78" s="2424"/>
      <c r="F78" s="2575" t="str">
        <f>INDEX(PT_DIFFERENTIATION_VTAR,MATCH(A78,PT_DIFFERENTIATION_VTAR_ID,0))</f>
        <v>Тариф на транспортировку сточных вод</v>
      </c>
      <c r="G78" s="2612" t="str">
        <f>INDEX(PT_DIFFERENTIATION_NTAR,MATCH(B78,PT_DIFFERENTIATION_NTAR_ID,0))</f>
        <v/>
      </c>
      <c r="H78" s="1787"/>
      <c r="I78" s="1665"/>
      <c r="J78" s="1699"/>
      <c r="K78" s="1790"/>
      <c r="L78" s="1787" t="s">
        <v>313</v>
      </c>
      <c r="M78" s="2379"/>
      <c r="N78" s="272"/>
      <c r="O78" s="1551"/>
      <c r="P78" s="1551"/>
      <c r="AH78" s="1558">
        <v>0</v>
      </c>
    </row>
    <row r="79" spans="1:34" s="1562" customFormat="1" ht="18.75" hidden="1" customHeight="1">
      <c r="A79" s="1706"/>
      <c r="B79" s="1706"/>
      <c r="C79" s="306" t="s">
        <v>1152</v>
      </c>
      <c r="D79" s="2637"/>
      <c r="E79" s="2424"/>
      <c r="F79" s="2575"/>
      <c r="G79" s="2612"/>
      <c r="H79" s="1427"/>
      <c r="I79" s="588" t="s">
        <v>1153</v>
      </c>
      <c r="J79" s="508"/>
      <c r="K79" s="1427"/>
      <c r="L79" s="152"/>
      <c r="M79" s="2379"/>
      <c r="N79" s="272"/>
      <c r="O79" s="1551"/>
      <c r="P79" s="1551"/>
      <c r="AH79" s="1558">
        <v>0</v>
      </c>
    </row>
    <row r="80" spans="1:34" s="1562" customFormat="1" ht="0.75" hidden="1" customHeight="1">
      <c r="A80" s="1706"/>
      <c r="B80" s="1706"/>
      <c r="C80" s="306" t="s">
        <v>1158</v>
      </c>
      <c r="D80" s="2637"/>
      <c r="E80" s="2424"/>
      <c r="F80" s="2575"/>
      <c r="G80" s="337"/>
      <c r="H80" s="1427"/>
      <c r="I80" s="588"/>
      <c r="J80" s="508"/>
      <c r="K80" s="1427"/>
      <c r="L80" s="152"/>
      <c r="M80" s="2379"/>
      <c r="N80" s="272"/>
      <c r="O80" s="1551"/>
      <c r="P80" s="1551"/>
      <c r="AH80" s="1558">
        <v>0</v>
      </c>
    </row>
    <row r="81" spans="1:34" s="1562" customFormat="1" ht="18.75" hidden="1" customHeight="1">
      <c r="A81" s="1706" t="s">
        <v>282</v>
      </c>
      <c r="B81" s="1706" t="s">
        <v>283</v>
      </c>
      <c r="C81" s="306"/>
      <c r="D81" s="2637"/>
      <c r="E81" s="2424"/>
      <c r="F81" s="2575" t="str">
        <f>INDEX(PT_DIFFERENTIATION_VTAR,MATCH(A81,PT_DIFFERENTIATION_VTAR_ID,0))</f>
        <v>Тариф на подключение (технологическое присоединение) к централизованной системе водоотведения</v>
      </c>
      <c r="G81" s="2612" t="str">
        <f>INDEX(PT_DIFFERENTIATION_NTAR,MATCH(B81,PT_DIFFERENTIATION_NTAR_ID,0))</f>
        <v/>
      </c>
      <c r="H81" s="1787"/>
      <c r="I81" s="1665"/>
      <c r="J81" s="1699"/>
      <c r="K81" s="1790"/>
      <c r="L81" s="1787" t="s">
        <v>313</v>
      </c>
      <c r="M81" s="2379"/>
      <c r="N81" s="272"/>
      <c r="O81" s="1551"/>
      <c r="P81" s="1551"/>
      <c r="AH81" s="1558">
        <v>0</v>
      </c>
    </row>
    <row r="82" spans="1:34" s="1562" customFormat="1" ht="18.75" hidden="1" customHeight="1">
      <c r="A82" s="1706"/>
      <c r="B82" s="1706"/>
      <c r="C82" s="306" t="s">
        <v>1152</v>
      </c>
      <c r="D82" s="2637"/>
      <c r="E82" s="2424"/>
      <c r="F82" s="2575"/>
      <c r="G82" s="2612"/>
      <c r="H82" s="1427"/>
      <c r="I82" s="588" t="s">
        <v>1153</v>
      </c>
      <c r="J82" s="508"/>
      <c r="K82" s="1427"/>
      <c r="L82" s="152"/>
      <c r="M82" s="2379"/>
      <c r="N82" s="272"/>
      <c r="O82" s="1551"/>
      <c r="P82" s="1551"/>
      <c r="AH82" s="1558">
        <v>0</v>
      </c>
    </row>
    <row r="83" spans="1:34" s="1562" customFormat="1" ht="1.1499999999999999" customHeight="1">
      <c r="A83" s="1706"/>
      <c r="B83" s="1706"/>
      <c r="C83" s="306" t="s">
        <v>1158</v>
      </c>
      <c r="D83" s="2637"/>
      <c r="E83" s="2424"/>
      <c r="F83" s="2575"/>
      <c r="G83" s="337"/>
      <c r="H83" s="1427"/>
      <c r="I83" s="588"/>
      <c r="J83" s="508"/>
      <c r="K83" s="1427"/>
      <c r="L83" s="152"/>
      <c r="M83" s="2379"/>
      <c r="N83" s="272"/>
      <c r="O83" s="1551"/>
      <c r="P83" s="1551"/>
      <c r="AH83" s="1558">
        <v>1</v>
      </c>
    </row>
    <row r="84" spans="1:34" ht="19.899999999999999" customHeight="1">
      <c r="A84" s="1706"/>
      <c r="B84" s="1706"/>
      <c r="D84" s="313"/>
      <c r="E84" s="85" t="s">
        <v>111</v>
      </c>
      <c r="F84" s="263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6"/>
      <c r="H84" s="2636"/>
      <c r="I84" s="2636"/>
      <c r="J84" s="2636"/>
      <c r="K84" s="2636"/>
      <c r="L84" s="2636"/>
      <c r="M84" s="235"/>
      <c r="N84" s="272"/>
      <c r="AH84" s="311">
        <v>19</v>
      </c>
    </row>
    <row r="85" spans="1:34" ht="36" customHeight="1">
      <c r="A85" s="1706"/>
      <c r="B85" s="1706"/>
      <c r="D85" s="313"/>
      <c r="E85" s="336"/>
      <c r="F85" s="136" t="s">
        <v>313</v>
      </c>
      <c r="G85" s="136" t="s">
        <v>313</v>
      </c>
      <c r="H85" s="2434" t="s">
        <v>313</v>
      </c>
      <c r="I85" s="2448"/>
      <c r="J85" s="136" t="s">
        <v>313</v>
      </c>
      <c r="K85" s="136" t="s">
        <v>313</v>
      </c>
      <c r="L85" s="2271" t="s">
        <v>1160</v>
      </c>
      <c r="M85" s="283" t="s">
        <v>1161</v>
      </c>
      <c r="N85" s="272"/>
      <c r="AH85" s="311">
        <v>34</v>
      </c>
    </row>
    <row r="86" spans="1:34" ht="19.899999999999999" customHeight="1">
      <c r="A86" s="1706"/>
      <c r="B86" s="1706"/>
      <c r="D86" s="313"/>
      <c r="E86" s="85" t="s">
        <v>91</v>
      </c>
      <c r="F86" s="2636" t="s">
        <v>1162</v>
      </c>
      <c r="G86" s="2636"/>
      <c r="H86" s="2636"/>
      <c r="I86" s="2636"/>
      <c r="J86" s="2636"/>
      <c r="K86" s="2636"/>
      <c r="L86" s="2636"/>
      <c r="M86" s="235"/>
      <c r="N86" s="272"/>
      <c r="AH86" s="311">
        <v>19</v>
      </c>
    </row>
    <row r="87" spans="1:34" s="1562" customFormat="1" ht="60.75" hidden="1" customHeight="1">
      <c r="A87" s="1706" t="s">
        <v>156</v>
      </c>
      <c r="B87" s="1706" t="s">
        <v>157</v>
      </c>
      <c r="C87" s="306"/>
      <c r="D87" s="2637"/>
      <c r="E87" s="2424"/>
      <c r="F87" s="257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12" t="str">
        <f>INDEX(PT_DIFFERENTIATION_NTAR,MATCH(B87,PT_DIFFERENTIATION_NTAR_ID,0))</f>
        <v/>
      </c>
      <c r="H87" s="1787"/>
      <c r="I87" s="1665"/>
      <c r="J87" s="1699"/>
      <c r="K87" s="1704"/>
      <c r="L87" s="1787" t="s">
        <v>313</v>
      </c>
      <c r="M87" s="23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6"/>
      <c r="B88" s="1706"/>
      <c r="C88" s="306" t="s">
        <v>1154</v>
      </c>
      <c r="D88" s="2637"/>
      <c r="E88" s="2424"/>
      <c r="F88" s="2575"/>
      <c r="G88" s="2612"/>
      <c r="H88" s="1427"/>
      <c r="I88" s="588" t="s">
        <v>1153</v>
      </c>
      <c r="J88" s="508"/>
      <c r="K88" s="1427"/>
      <c r="L88" s="152"/>
      <c r="M88" s="2379"/>
      <c r="N88" s="272"/>
      <c r="O88" s="1551"/>
      <c r="P88" s="1551"/>
      <c r="AH88" s="1558">
        <v>0</v>
      </c>
    </row>
    <row r="89" spans="1:34" s="1562" customFormat="1" ht="0.75" hidden="1" customHeight="1">
      <c r="A89" s="1706"/>
      <c r="B89" s="1706"/>
      <c r="C89" s="306" t="s">
        <v>1163</v>
      </c>
      <c r="D89" s="2637"/>
      <c r="E89" s="2424"/>
      <c r="F89" s="2575"/>
      <c r="G89" s="337"/>
      <c r="H89" s="1427"/>
      <c r="I89" s="588"/>
      <c r="J89" s="508"/>
      <c r="K89" s="1427"/>
      <c r="L89" s="152"/>
      <c r="M89" s="2379"/>
      <c r="N89" s="272"/>
      <c r="O89" s="1551"/>
      <c r="P89" s="1551"/>
      <c r="AH89" s="1558">
        <v>0</v>
      </c>
    </row>
    <row r="90" spans="1:34" s="1562" customFormat="1" ht="45" customHeight="1">
      <c r="A90" s="1706" t="s">
        <v>164</v>
      </c>
      <c r="B90" s="1706" t="s">
        <v>165</v>
      </c>
      <c r="C90" s="306"/>
      <c r="D90" s="2637"/>
      <c r="E90" s="2424"/>
      <c r="F90" s="2575"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612" t="str">
        <f>INDEX(PT_DIFFERENTIATION_NTAR,MATCH(B90,PT_DIFFERENTIATION_NTAR_ID,0))</f>
        <v>Тариф на тепловую энергию (мощность), поставляемую потребителям</v>
      </c>
      <c r="H90" s="1787"/>
      <c r="I90" s="1665">
        <v>46023</v>
      </c>
      <c r="J90" s="1699">
        <v>46387</v>
      </c>
      <c r="K90" s="1704">
        <v>254506.84</v>
      </c>
      <c r="L90" s="1787" t="s">
        <v>313</v>
      </c>
      <c r="M90" s="2380"/>
      <c r="N90" s="272"/>
      <c r="O90" s="1551"/>
      <c r="P90" s="1551"/>
      <c r="AH90" s="1558">
        <v>0</v>
      </c>
    </row>
    <row r="91" spans="1:34" s="1562" customFormat="1" ht="18.75" customHeight="1">
      <c r="A91" s="1706"/>
      <c r="B91" s="1706"/>
      <c r="C91" s="306" t="s">
        <v>1154</v>
      </c>
      <c r="D91" s="2637"/>
      <c r="E91" s="2424"/>
      <c r="F91" s="2575"/>
      <c r="G91" s="2612"/>
      <c r="H91" s="1427"/>
      <c r="I91" s="588" t="s">
        <v>1153</v>
      </c>
      <c r="J91" s="508"/>
      <c r="K91" s="1427"/>
      <c r="L91" s="152"/>
      <c r="M91" s="1786"/>
      <c r="N91" s="272"/>
      <c r="O91" s="1551"/>
      <c r="P91" s="1551"/>
      <c r="AH91" s="1558">
        <v>0</v>
      </c>
    </row>
    <row r="92" spans="1:34" s="1562" customFormat="1" ht="0.75" customHeight="1">
      <c r="A92" s="1706"/>
      <c r="B92" s="1706"/>
      <c r="C92" s="306" t="s">
        <v>1163</v>
      </c>
      <c r="D92" s="2637"/>
      <c r="E92" s="2424"/>
      <c r="F92" s="2575"/>
      <c r="G92" s="337"/>
      <c r="H92" s="1427"/>
      <c r="I92" s="588"/>
      <c r="J92" s="508"/>
      <c r="K92" s="1427"/>
      <c r="L92" s="152"/>
      <c r="M92" s="279"/>
      <c r="N92" s="272"/>
      <c r="O92" s="1551"/>
      <c r="P92" s="1551"/>
      <c r="AH92" s="1558">
        <v>0</v>
      </c>
    </row>
    <row r="93" spans="1:34" s="1562" customFormat="1" ht="45" hidden="1" customHeight="1">
      <c r="A93" s="1706" t="s">
        <v>174</v>
      </c>
      <c r="B93" s="1706" t="s">
        <v>175</v>
      </c>
      <c r="C93" s="306"/>
      <c r="D93" s="2637"/>
      <c r="E93" s="2424"/>
      <c r="F93" s="257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12" t="str">
        <f>INDEX(PT_DIFFERENTIATION_NTAR,MATCH(B93,PT_DIFFERENTIATION_NTAR_ID,0))</f>
        <v/>
      </c>
      <c r="H93" s="1787"/>
      <c r="I93" s="1665"/>
      <c r="J93" s="1699"/>
      <c r="K93" s="1704"/>
      <c r="L93" s="1787" t="s">
        <v>313</v>
      </c>
      <c r="M93" s="279"/>
      <c r="N93" s="272"/>
      <c r="O93" s="1551"/>
      <c r="P93" s="1551"/>
      <c r="AH93" s="1558">
        <v>0</v>
      </c>
    </row>
    <row r="94" spans="1:34" s="1562" customFormat="1" ht="18.75" hidden="1" customHeight="1">
      <c r="A94" s="1706"/>
      <c r="B94" s="1706"/>
      <c r="C94" s="306" t="s">
        <v>1154</v>
      </c>
      <c r="D94" s="2637"/>
      <c r="E94" s="2424"/>
      <c r="F94" s="2575"/>
      <c r="G94" s="2612"/>
      <c r="H94" s="1427"/>
      <c r="I94" s="588" t="s">
        <v>1153</v>
      </c>
      <c r="J94" s="508"/>
      <c r="K94" s="1427"/>
      <c r="L94" s="152"/>
      <c r="M94" s="279"/>
      <c r="N94" s="272"/>
      <c r="O94" s="1551"/>
      <c r="P94" s="1551"/>
      <c r="AH94" s="1558">
        <v>0</v>
      </c>
    </row>
    <row r="95" spans="1:34" s="1562" customFormat="1" ht="0.75" hidden="1" customHeight="1">
      <c r="A95" s="1706"/>
      <c r="B95" s="1706"/>
      <c r="C95" s="306" t="s">
        <v>1163</v>
      </c>
      <c r="D95" s="2637"/>
      <c r="E95" s="2424"/>
      <c r="F95" s="2575"/>
      <c r="G95" s="337"/>
      <c r="H95" s="1427"/>
      <c r="I95" s="588"/>
      <c r="J95" s="508"/>
      <c r="K95" s="1427"/>
      <c r="L95" s="152"/>
      <c r="M95" s="279"/>
      <c r="N95" s="272"/>
      <c r="O95" s="1551"/>
      <c r="P95" s="1551"/>
      <c r="AH95" s="1558">
        <v>0</v>
      </c>
    </row>
    <row r="96" spans="1:34" s="1562" customFormat="1" ht="45" customHeight="1">
      <c r="A96" s="1706" t="s">
        <v>182</v>
      </c>
      <c r="B96" s="1706" t="s">
        <v>183</v>
      </c>
      <c r="C96" s="306"/>
      <c r="D96" s="2637"/>
      <c r="E96" s="2424"/>
      <c r="F96" s="257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12" t="str">
        <f>INDEX(PT_DIFFERENTIATION_NTAR,MATCH(B96,PT_DIFFERENTIATION_NTAR_ID,0))</f>
        <v>Тариф на горячую воду в открытой системе теплоснабжения (горячее водоснабжение)</v>
      </c>
      <c r="H96" s="1787"/>
      <c r="I96" s="1665">
        <v>46023</v>
      </c>
      <c r="J96" s="1699">
        <v>46387</v>
      </c>
      <c r="K96" s="1704">
        <v>24659.13</v>
      </c>
      <c r="L96" s="1787" t="s">
        <v>313</v>
      </c>
      <c r="M96" s="279"/>
      <c r="N96" s="272"/>
      <c r="O96" s="1551"/>
      <c r="P96" s="1551"/>
      <c r="AH96" s="1558">
        <v>0</v>
      </c>
    </row>
    <row r="97" spans="1:34" s="1562" customFormat="1" ht="18.75" customHeight="1">
      <c r="A97" s="1706"/>
      <c r="B97" s="1706"/>
      <c r="C97" s="306" t="s">
        <v>1154</v>
      </c>
      <c r="D97" s="2637"/>
      <c r="E97" s="2424"/>
      <c r="F97" s="2575"/>
      <c r="G97" s="2612"/>
      <c r="H97" s="1427"/>
      <c r="I97" s="588" t="s">
        <v>1153</v>
      </c>
      <c r="J97" s="508"/>
      <c r="K97" s="1427"/>
      <c r="L97" s="152"/>
      <c r="M97" s="279"/>
      <c r="N97" s="272"/>
      <c r="O97" s="1551"/>
      <c r="P97" s="1551"/>
      <c r="AH97" s="1558">
        <v>0</v>
      </c>
    </row>
    <row r="98" spans="1:34" s="1562" customFormat="1" ht="0.75" customHeight="1">
      <c r="A98" s="1706"/>
      <c r="B98" s="1706"/>
      <c r="C98" s="306" t="s">
        <v>1163</v>
      </c>
      <c r="D98" s="2637"/>
      <c r="E98" s="2424"/>
      <c r="F98" s="2575"/>
      <c r="G98" s="337"/>
      <c r="H98" s="1427"/>
      <c r="I98" s="588"/>
      <c r="J98" s="508"/>
      <c r="K98" s="1427"/>
      <c r="L98" s="152"/>
      <c r="M98" s="279"/>
      <c r="N98" s="272"/>
      <c r="O98" s="1551"/>
      <c r="P98" s="1551"/>
      <c r="AH98" s="1558">
        <v>0</v>
      </c>
    </row>
    <row r="99" spans="1:34" s="1562" customFormat="1" ht="18.75" hidden="1" customHeight="1">
      <c r="A99" s="1706" t="s">
        <v>188</v>
      </c>
      <c r="B99" s="1706" t="s">
        <v>189</v>
      </c>
      <c r="C99" s="306"/>
      <c r="D99" s="2637"/>
      <c r="E99" s="2424"/>
      <c r="F99" s="2575" t="str">
        <f>INDEX(PT_DIFFERENTIATION_VTAR,MATCH(A99,PT_DIFFERENTIATION_VTAR_ID,0))</f>
        <v>Тарифы на услуги по передаче тепловой энергии</v>
      </c>
      <c r="G99" s="2612" t="str">
        <f>INDEX(PT_DIFFERENTIATION_NTAR,MATCH(B99,PT_DIFFERENTIATION_NTAR_ID,0))</f>
        <v/>
      </c>
      <c r="H99" s="1787"/>
      <c r="I99" s="1665"/>
      <c r="J99" s="1699"/>
      <c r="K99" s="1704"/>
      <c r="L99" s="1787" t="s">
        <v>313</v>
      </c>
      <c r="M99" s="279"/>
      <c r="N99" s="272"/>
      <c r="O99" s="1551"/>
      <c r="P99" s="1551"/>
      <c r="AH99" s="1558">
        <v>0</v>
      </c>
    </row>
    <row r="100" spans="1:34" s="1562" customFormat="1" ht="18.75" hidden="1" customHeight="1">
      <c r="A100" s="1706"/>
      <c r="B100" s="1706"/>
      <c r="C100" s="306" t="s">
        <v>1154</v>
      </c>
      <c r="D100" s="2637"/>
      <c r="E100" s="2424"/>
      <c r="F100" s="2575"/>
      <c r="G100" s="2612"/>
      <c r="H100" s="1427"/>
      <c r="I100" s="588" t="s">
        <v>1153</v>
      </c>
      <c r="J100" s="508"/>
      <c r="K100" s="1427"/>
      <c r="L100" s="152"/>
      <c r="M100" s="279"/>
      <c r="N100" s="272"/>
      <c r="O100" s="1551"/>
      <c r="P100" s="1551"/>
      <c r="AH100" s="1558">
        <v>0</v>
      </c>
    </row>
    <row r="101" spans="1:34" s="1562" customFormat="1" ht="0.75" hidden="1" customHeight="1">
      <c r="A101" s="1706"/>
      <c r="B101" s="1706"/>
      <c r="C101" s="306" t="s">
        <v>1163</v>
      </c>
      <c r="D101" s="2637"/>
      <c r="E101" s="2424"/>
      <c r="F101" s="2575"/>
      <c r="G101" s="337"/>
      <c r="H101" s="1427"/>
      <c r="I101" s="588"/>
      <c r="J101" s="508"/>
      <c r="K101" s="1427"/>
      <c r="L101" s="152"/>
      <c r="M101" s="279"/>
      <c r="N101" s="272"/>
      <c r="O101" s="1551"/>
      <c r="P101" s="1551"/>
      <c r="AH101" s="1558">
        <v>0</v>
      </c>
    </row>
    <row r="102" spans="1:34" s="1562" customFormat="1" ht="18.75" hidden="1" customHeight="1">
      <c r="A102" s="1706" t="s">
        <v>194</v>
      </c>
      <c r="B102" s="1706" t="s">
        <v>195</v>
      </c>
      <c r="C102" s="306"/>
      <c r="D102" s="2637"/>
      <c r="E102" s="2424"/>
      <c r="F102" s="2575" t="str">
        <f>INDEX(PT_DIFFERENTIATION_VTAR,MATCH(A102,PT_DIFFERENTIATION_VTAR_ID,0))</f>
        <v>Тарифы на услуги по передаче теплоносителя</v>
      </c>
      <c r="G102" s="2612" t="str">
        <f>INDEX(PT_DIFFERENTIATION_NTAR,MATCH(B102,PT_DIFFERENTIATION_NTAR_ID,0))</f>
        <v/>
      </c>
      <c r="H102" s="1787"/>
      <c r="I102" s="1665"/>
      <c r="J102" s="1699"/>
      <c r="K102" s="1704"/>
      <c r="L102" s="1787" t="s">
        <v>313</v>
      </c>
      <c r="M102" s="279"/>
      <c r="N102" s="272"/>
      <c r="O102" s="1551"/>
      <c r="P102" s="1551"/>
      <c r="AH102" s="1558">
        <v>0</v>
      </c>
    </row>
    <row r="103" spans="1:34" s="1562" customFormat="1" ht="18.75" hidden="1" customHeight="1">
      <c r="A103" s="1706"/>
      <c r="B103" s="1706"/>
      <c r="C103" s="306" t="s">
        <v>1154</v>
      </c>
      <c r="D103" s="2637"/>
      <c r="E103" s="2424"/>
      <c r="F103" s="2575"/>
      <c r="G103" s="2612"/>
      <c r="H103" s="1427"/>
      <c r="I103" s="588" t="s">
        <v>1153</v>
      </c>
      <c r="J103" s="508"/>
      <c r="K103" s="1427"/>
      <c r="L103" s="152"/>
      <c r="M103" s="279"/>
      <c r="N103" s="272"/>
      <c r="O103" s="1551"/>
      <c r="P103" s="1551"/>
      <c r="AH103" s="1558">
        <v>0</v>
      </c>
    </row>
    <row r="104" spans="1:34" s="1562" customFormat="1" ht="0.75" hidden="1" customHeight="1">
      <c r="A104" s="1706"/>
      <c r="B104" s="1706"/>
      <c r="C104" s="306" t="s">
        <v>1163</v>
      </c>
      <c r="D104" s="2637"/>
      <c r="E104" s="2424"/>
      <c r="F104" s="2575"/>
      <c r="G104" s="337"/>
      <c r="H104" s="1427"/>
      <c r="I104" s="588"/>
      <c r="J104" s="508"/>
      <c r="K104" s="1427"/>
      <c r="L104" s="152"/>
      <c r="M104" s="279"/>
      <c r="N104" s="272"/>
      <c r="O104" s="1551"/>
      <c r="P104" s="1551"/>
      <c r="AH104" s="1558">
        <v>0</v>
      </c>
    </row>
    <row r="105" spans="1:34" s="1562" customFormat="1" ht="18.75" hidden="1" customHeight="1">
      <c r="A105" s="1706" t="s">
        <v>200</v>
      </c>
      <c r="B105" s="1706" t="s">
        <v>201</v>
      </c>
      <c r="C105" s="306"/>
      <c r="D105" s="2637"/>
      <c r="E105" s="2424"/>
      <c r="F105" s="257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12" t="str">
        <f>INDEX(PT_DIFFERENTIATION_NTAR,MATCH(B105,PT_DIFFERENTIATION_NTAR_ID,0))</f>
        <v/>
      </c>
      <c r="H105" s="1787"/>
      <c r="I105" s="1665"/>
      <c r="J105" s="1699"/>
      <c r="K105" s="1704"/>
      <c r="L105" s="1787" t="s">
        <v>313</v>
      </c>
      <c r="M105" s="279"/>
      <c r="N105" s="272"/>
      <c r="O105" s="1551"/>
      <c r="P105" s="1551"/>
      <c r="AH105" s="1558">
        <v>0</v>
      </c>
    </row>
    <row r="106" spans="1:34" s="1562" customFormat="1" ht="18.75" hidden="1" customHeight="1">
      <c r="A106" s="1706"/>
      <c r="B106" s="1706"/>
      <c r="C106" s="306" t="s">
        <v>1154</v>
      </c>
      <c r="D106" s="2637"/>
      <c r="E106" s="2424"/>
      <c r="F106" s="2575"/>
      <c r="G106" s="2612"/>
      <c r="H106" s="1427"/>
      <c r="I106" s="588" t="s">
        <v>1153</v>
      </c>
      <c r="J106" s="508"/>
      <c r="K106" s="1427"/>
      <c r="L106" s="152"/>
      <c r="M106" s="279"/>
      <c r="N106" s="272"/>
      <c r="O106" s="1551"/>
      <c r="P106" s="1551"/>
      <c r="AH106" s="1558">
        <v>0</v>
      </c>
    </row>
    <row r="107" spans="1:34" s="1562" customFormat="1" ht="0.75" hidden="1" customHeight="1">
      <c r="A107" s="1706"/>
      <c r="B107" s="1706"/>
      <c r="C107" s="306" t="s">
        <v>1163</v>
      </c>
      <c r="D107" s="2637"/>
      <c r="E107" s="2424"/>
      <c r="F107" s="2575"/>
      <c r="G107" s="337"/>
      <c r="H107" s="1427"/>
      <c r="I107" s="588"/>
      <c r="J107" s="508"/>
      <c r="K107" s="1427"/>
      <c r="L107" s="152"/>
      <c r="M107" s="279"/>
      <c r="N107" s="272"/>
      <c r="O107" s="1551"/>
      <c r="P107" s="1551"/>
      <c r="AH107" s="1558">
        <v>0</v>
      </c>
    </row>
    <row r="108" spans="1:34" s="1562" customFormat="1" ht="18.75" hidden="1" customHeight="1">
      <c r="A108" s="1706" t="s">
        <v>206</v>
      </c>
      <c r="B108" s="1706" t="s">
        <v>207</v>
      </c>
      <c r="C108" s="306"/>
      <c r="D108" s="2637"/>
      <c r="E108" s="2424"/>
      <c r="F108" s="2575" t="str">
        <f>INDEX(PT_DIFFERENTIATION_VTAR,MATCH(A108,PT_DIFFERENTIATION_VTAR_ID,0))</f>
        <v>Плата за подключение (технологическое присоединение) к системе теплоснабжения</v>
      </c>
      <c r="G108" s="2612" t="str">
        <f>INDEX(PT_DIFFERENTIATION_NTAR,MATCH(B108,PT_DIFFERENTIATION_NTAR_ID,0))</f>
        <v/>
      </c>
      <c r="H108" s="1787"/>
      <c r="I108" s="1665"/>
      <c r="J108" s="1699"/>
      <c r="K108" s="1704"/>
      <c r="L108" s="1787" t="s">
        <v>313</v>
      </c>
      <c r="M108" s="279"/>
      <c r="N108" s="272"/>
      <c r="O108" s="1551"/>
      <c r="P108" s="1551"/>
      <c r="AH108" s="1558">
        <v>0</v>
      </c>
    </row>
    <row r="109" spans="1:34" s="1562" customFormat="1" ht="18.75" hidden="1" customHeight="1">
      <c r="A109" s="1706"/>
      <c r="B109" s="1706"/>
      <c r="C109" s="306" t="s">
        <v>1154</v>
      </c>
      <c r="D109" s="2637"/>
      <c r="E109" s="2424"/>
      <c r="F109" s="2575"/>
      <c r="G109" s="2612"/>
      <c r="H109" s="1427"/>
      <c r="I109" s="588" t="s">
        <v>1153</v>
      </c>
      <c r="J109" s="508"/>
      <c r="K109" s="1427"/>
      <c r="L109" s="152"/>
      <c r="M109" s="279"/>
      <c r="N109" s="272"/>
      <c r="O109" s="1551"/>
      <c r="P109" s="1551"/>
      <c r="AH109" s="1558">
        <v>0</v>
      </c>
    </row>
    <row r="110" spans="1:34" s="1562" customFormat="1" ht="0.75" hidden="1" customHeight="1">
      <c r="A110" s="1706"/>
      <c r="B110" s="1706"/>
      <c r="C110" s="306" t="s">
        <v>1163</v>
      </c>
      <c r="D110" s="2637"/>
      <c r="E110" s="2424"/>
      <c r="F110" s="2575"/>
      <c r="G110" s="337"/>
      <c r="H110" s="1427"/>
      <c r="I110" s="588"/>
      <c r="J110" s="508"/>
      <c r="K110" s="1427"/>
      <c r="L110" s="152"/>
      <c r="M110" s="279"/>
      <c r="N110" s="272"/>
      <c r="O110" s="1551"/>
      <c r="P110" s="1551"/>
      <c r="AH110" s="1558">
        <v>0</v>
      </c>
    </row>
    <row r="111" spans="1:34" s="1562" customFormat="1" ht="18.75" hidden="1" customHeight="1">
      <c r="A111" s="1706" t="s">
        <v>212</v>
      </c>
      <c r="B111" s="1706" t="s">
        <v>213</v>
      </c>
      <c r="C111" s="306"/>
      <c r="D111" s="2637"/>
      <c r="E111" s="2424"/>
      <c r="F111" s="2575" t="str">
        <f>INDEX(PT_DIFFERENTIATION_VTAR,MATCH(A111,PT_DIFFERENTIATION_VTAR_ID,0))</f>
        <v>Плата за подключение (технологическое присоединение) к системе теплоснабжения (индивидуальная)</v>
      </c>
      <c r="G111" s="2612" t="str">
        <f>INDEX(PT_DIFFERENTIATION_NTAR,MATCH(B111,PT_DIFFERENTIATION_NTAR_ID,0))</f>
        <v/>
      </c>
      <c r="H111" s="1911"/>
      <c r="I111" s="1665"/>
      <c r="J111" s="1699"/>
      <c r="K111" s="1704"/>
      <c r="L111" s="1911" t="s">
        <v>313</v>
      </c>
      <c r="M111" s="279"/>
      <c r="N111" s="272"/>
      <c r="O111" s="1551"/>
      <c r="P111" s="1551"/>
      <c r="AH111" s="1558">
        <v>0</v>
      </c>
    </row>
    <row r="112" spans="1:34" s="1562" customFormat="1" ht="18.75" hidden="1" customHeight="1">
      <c r="A112" s="1706"/>
      <c r="B112" s="1706"/>
      <c r="C112" s="306" t="s">
        <v>1154</v>
      </c>
      <c r="D112" s="2637"/>
      <c r="E112" s="2424"/>
      <c r="F112" s="2575"/>
      <c r="G112" s="2612"/>
      <c r="H112" s="1427"/>
      <c r="I112" s="588" t="s">
        <v>1153</v>
      </c>
      <c r="J112" s="508"/>
      <c r="K112" s="1427"/>
      <c r="L112" s="152"/>
      <c r="M112" s="279"/>
      <c r="N112" s="272"/>
      <c r="O112" s="1551"/>
      <c r="P112" s="1551"/>
      <c r="AH112" s="1558">
        <v>0</v>
      </c>
    </row>
    <row r="113" spans="1:34" s="1562" customFormat="1" ht="0.75" hidden="1" customHeight="1">
      <c r="A113" s="1706"/>
      <c r="B113" s="1706"/>
      <c r="C113" s="306" t="s">
        <v>1163</v>
      </c>
      <c r="D113" s="2637"/>
      <c r="E113" s="2424"/>
      <c r="F113" s="2575"/>
      <c r="G113" s="337"/>
      <c r="H113" s="1427"/>
      <c r="I113" s="588"/>
      <c r="J113" s="508"/>
      <c r="K113" s="1427"/>
      <c r="L113" s="152"/>
      <c r="M113" s="279"/>
      <c r="N113" s="272"/>
      <c r="O113" s="1551"/>
      <c r="P113" s="1551"/>
      <c r="AH113" s="1558">
        <v>0</v>
      </c>
    </row>
    <row r="114" spans="1:34" s="1562" customFormat="1" ht="18.75" hidden="1" customHeight="1">
      <c r="A114" s="1706" t="s">
        <v>232</v>
      </c>
      <c r="B114" s="1706" t="s">
        <v>233</v>
      </c>
      <c r="C114" s="306"/>
      <c r="D114" s="2637"/>
      <c r="E114" s="2424"/>
      <c r="F114" s="2575" t="str">
        <f>INDEX(PT_DIFFERENTIATION_VTAR,MATCH(A114,PT_DIFFERENTIATION_VTAR_ID,0))</f>
        <v>Тариф на питьевую воду (питьевое водоснабжение)</v>
      </c>
      <c r="G114" s="2612" t="str">
        <f>INDEX(PT_DIFFERENTIATION_NTAR,MATCH(B114,PT_DIFFERENTIATION_NTAR_ID,0))</f>
        <v/>
      </c>
      <c r="H114" s="1787"/>
      <c r="I114" s="1665"/>
      <c r="J114" s="1699"/>
      <c r="K114" s="1704"/>
      <c r="L114" s="1787" t="s">
        <v>313</v>
      </c>
      <c r="M114" s="279"/>
      <c r="N114" s="272"/>
      <c r="O114" s="1551"/>
      <c r="P114" s="1551"/>
      <c r="AH114" s="1558">
        <v>0</v>
      </c>
    </row>
    <row r="115" spans="1:34" s="1562" customFormat="1" ht="18.75" hidden="1" customHeight="1">
      <c r="A115" s="1706"/>
      <c r="B115" s="1706"/>
      <c r="C115" s="306" t="s">
        <v>1154</v>
      </c>
      <c r="D115" s="2637"/>
      <c r="E115" s="2424"/>
      <c r="F115" s="2575"/>
      <c r="G115" s="2612"/>
      <c r="H115" s="1427"/>
      <c r="I115" s="588" t="s">
        <v>1153</v>
      </c>
      <c r="J115" s="508"/>
      <c r="K115" s="1427"/>
      <c r="L115" s="152"/>
      <c r="M115" s="279"/>
      <c r="N115" s="272"/>
      <c r="O115" s="1551"/>
      <c r="P115" s="1551"/>
      <c r="AH115" s="1558">
        <v>0</v>
      </c>
    </row>
    <row r="116" spans="1:34" s="1562" customFormat="1" ht="0.75" hidden="1" customHeight="1">
      <c r="A116" s="1706"/>
      <c r="B116" s="1706"/>
      <c r="C116" s="306" t="s">
        <v>1163</v>
      </c>
      <c r="D116" s="2637"/>
      <c r="E116" s="2424"/>
      <c r="F116" s="2575"/>
      <c r="G116" s="337"/>
      <c r="H116" s="1427"/>
      <c r="I116" s="588"/>
      <c r="J116" s="508"/>
      <c r="K116" s="1427"/>
      <c r="L116" s="152"/>
      <c r="M116" s="279"/>
      <c r="N116" s="272"/>
      <c r="O116" s="1551"/>
      <c r="P116" s="1551"/>
      <c r="AH116" s="1558">
        <v>0</v>
      </c>
    </row>
    <row r="117" spans="1:34" s="1562" customFormat="1" ht="18.75" hidden="1" customHeight="1">
      <c r="A117" s="1706" t="s">
        <v>237</v>
      </c>
      <c r="B117" s="1706" t="s">
        <v>238</v>
      </c>
      <c r="C117" s="306"/>
      <c r="D117" s="2637"/>
      <c r="E117" s="2424"/>
      <c r="F117" s="2575" t="str">
        <f>INDEX(PT_DIFFERENTIATION_VTAR,MATCH(A117,PT_DIFFERENTIATION_VTAR_ID,0))</f>
        <v>Тариф на техническую воду</v>
      </c>
      <c r="G117" s="2612" t="str">
        <f>INDEX(PT_DIFFERENTIATION_NTAR,MATCH(B117,PT_DIFFERENTIATION_NTAR_ID,0))</f>
        <v/>
      </c>
      <c r="H117" s="1787"/>
      <c r="I117" s="1665"/>
      <c r="J117" s="1699"/>
      <c r="K117" s="1704"/>
      <c r="L117" s="1787" t="s">
        <v>313</v>
      </c>
      <c r="M117" s="279"/>
      <c r="N117" s="272"/>
      <c r="O117" s="1551"/>
      <c r="P117" s="1551"/>
      <c r="AH117" s="1558">
        <v>0</v>
      </c>
    </row>
    <row r="118" spans="1:34" s="1562" customFormat="1" ht="18.75" hidden="1" customHeight="1">
      <c r="A118" s="1706"/>
      <c r="B118" s="1706"/>
      <c r="C118" s="306" t="s">
        <v>1154</v>
      </c>
      <c r="D118" s="2637"/>
      <c r="E118" s="2424"/>
      <c r="F118" s="2575"/>
      <c r="G118" s="2612"/>
      <c r="H118" s="1427"/>
      <c r="I118" s="588" t="s">
        <v>1153</v>
      </c>
      <c r="J118" s="508"/>
      <c r="K118" s="1427"/>
      <c r="L118" s="152"/>
      <c r="M118" s="279"/>
      <c r="N118" s="272"/>
      <c r="O118" s="1551"/>
      <c r="P118" s="1551"/>
      <c r="AH118" s="1558">
        <v>0</v>
      </c>
    </row>
    <row r="119" spans="1:34" s="1562" customFormat="1" ht="0.75" hidden="1" customHeight="1">
      <c r="A119" s="1706"/>
      <c r="B119" s="1706"/>
      <c r="C119" s="306" t="s">
        <v>1163</v>
      </c>
      <c r="D119" s="2637"/>
      <c r="E119" s="2424"/>
      <c r="F119" s="2575"/>
      <c r="G119" s="337"/>
      <c r="H119" s="1427"/>
      <c r="I119" s="588"/>
      <c r="J119" s="508"/>
      <c r="K119" s="1427"/>
      <c r="L119" s="152"/>
      <c r="M119" s="279"/>
      <c r="N119" s="272"/>
      <c r="O119" s="1551"/>
      <c r="P119" s="1551"/>
      <c r="AH119" s="1558">
        <v>0</v>
      </c>
    </row>
    <row r="120" spans="1:34" s="1562" customFormat="1" ht="18.75" hidden="1" customHeight="1">
      <c r="A120" s="1706" t="s">
        <v>242</v>
      </c>
      <c r="B120" s="1706" t="s">
        <v>243</v>
      </c>
      <c r="C120" s="306"/>
      <c r="D120" s="2637"/>
      <c r="E120" s="2424"/>
      <c r="F120" s="2575" t="str">
        <f>INDEX(PT_DIFFERENTIATION_VTAR,MATCH(A120,PT_DIFFERENTIATION_VTAR_ID,0))</f>
        <v>Тариф на транспортировку воды</v>
      </c>
      <c r="G120" s="2612" t="str">
        <f>INDEX(PT_DIFFERENTIATION_NTAR,MATCH(B120,PT_DIFFERENTIATION_NTAR_ID,0))</f>
        <v/>
      </c>
      <c r="H120" s="1787"/>
      <c r="I120" s="1665"/>
      <c r="J120" s="1699"/>
      <c r="K120" s="1704"/>
      <c r="L120" s="1787" t="s">
        <v>313</v>
      </c>
      <c r="M120" s="279"/>
      <c r="N120" s="272"/>
      <c r="O120" s="1551"/>
      <c r="P120" s="1551"/>
      <c r="AH120" s="1558">
        <v>0</v>
      </c>
    </row>
    <row r="121" spans="1:34" s="1562" customFormat="1" ht="18.75" hidden="1" customHeight="1">
      <c r="A121" s="1706"/>
      <c r="B121" s="1706"/>
      <c r="C121" s="306" t="s">
        <v>1154</v>
      </c>
      <c r="D121" s="2637"/>
      <c r="E121" s="2424"/>
      <c r="F121" s="2575"/>
      <c r="G121" s="2612"/>
      <c r="H121" s="1427"/>
      <c r="I121" s="588" t="s">
        <v>1153</v>
      </c>
      <c r="J121" s="508"/>
      <c r="K121" s="1427"/>
      <c r="L121" s="152"/>
      <c r="M121" s="279"/>
      <c r="N121" s="272"/>
      <c r="O121" s="1551"/>
      <c r="P121" s="1551"/>
      <c r="AH121" s="1558">
        <v>0</v>
      </c>
    </row>
    <row r="122" spans="1:34" s="1562" customFormat="1" ht="0.75" hidden="1" customHeight="1">
      <c r="A122" s="1706"/>
      <c r="B122" s="1706"/>
      <c r="C122" s="306" t="s">
        <v>1163</v>
      </c>
      <c r="D122" s="2637"/>
      <c r="E122" s="2424"/>
      <c r="F122" s="2575"/>
      <c r="G122" s="337"/>
      <c r="H122" s="1427"/>
      <c r="I122" s="588"/>
      <c r="J122" s="508"/>
      <c r="K122" s="1427"/>
      <c r="L122" s="152"/>
      <c r="M122" s="279"/>
      <c r="N122" s="272"/>
      <c r="O122" s="1551"/>
      <c r="P122" s="1551"/>
      <c r="AH122" s="1558">
        <v>0</v>
      </c>
    </row>
    <row r="123" spans="1:34" s="1562" customFormat="1" ht="18.75" hidden="1" customHeight="1">
      <c r="A123" s="1706" t="s">
        <v>247</v>
      </c>
      <c r="B123" s="1706" t="s">
        <v>248</v>
      </c>
      <c r="C123" s="306"/>
      <c r="D123" s="2637"/>
      <c r="E123" s="2424"/>
      <c r="F123" s="2575" t="str">
        <f>INDEX(PT_DIFFERENTIATION_VTAR,MATCH(A123,PT_DIFFERENTIATION_VTAR_ID,0))</f>
        <v>Тариф на подвоз воды</v>
      </c>
      <c r="G123" s="2612" t="str">
        <f>INDEX(PT_DIFFERENTIATION_NTAR,MATCH(B123,PT_DIFFERENTIATION_NTAR_ID,0))</f>
        <v/>
      </c>
      <c r="H123" s="1787"/>
      <c r="I123" s="1665"/>
      <c r="J123" s="1699"/>
      <c r="K123" s="1704"/>
      <c r="L123" s="1787" t="s">
        <v>313</v>
      </c>
      <c r="M123" s="279"/>
      <c r="N123" s="272"/>
      <c r="O123" s="1551"/>
      <c r="P123" s="1551"/>
      <c r="AH123" s="1558">
        <v>0</v>
      </c>
    </row>
    <row r="124" spans="1:34" s="1562" customFormat="1" ht="18.75" hidden="1" customHeight="1">
      <c r="A124" s="1706"/>
      <c r="B124" s="1706"/>
      <c r="C124" s="306" t="s">
        <v>1154</v>
      </c>
      <c r="D124" s="2637"/>
      <c r="E124" s="2424"/>
      <c r="F124" s="2575"/>
      <c r="G124" s="2612"/>
      <c r="H124" s="1427"/>
      <c r="I124" s="588" t="s">
        <v>1153</v>
      </c>
      <c r="J124" s="508"/>
      <c r="K124" s="1427"/>
      <c r="L124" s="152"/>
      <c r="M124" s="279"/>
      <c r="N124" s="272"/>
      <c r="O124" s="1551"/>
      <c r="P124" s="1551"/>
      <c r="AH124" s="1558">
        <v>0</v>
      </c>
    </row>
    <row r="125" spans="1:34" s="1562" customFormat="1" ht="0.75" hidden="1" customHeight="1">
      <c r="A125" s="1706"/>
      <c r="B125" s="1706"/>
      <c r="C125" s="306" t="s">
        <v>1163</v>
      </c>
      <c r="D125" s="2637"/>
      <c r="E125" s="2424"/>
      <c r="F125" s="2575"/>
      <c r="G125" s="337"/>
      <c r="H125" s="1427"/>
      <c r="I125" s="588"/>
      <c r="J125" s="508"/>
      <c r="K125" s="1427"/>
      <c r="L125" s="152"/>
      <c r="M125" s="279"/>
      <c r="N125" s="272"/>
      <c r="O125" s="1551"/>
      <c r="P125" s="1551"/>
      <c r="AH125" s="1558">
        <v>0</v>
      </c>
    </row>
    <row r="126" spans="1:34" s="1562" customFormat="1" ht="18.75" hidden="1" customHeight="1">
      <c r="A126" s="1706" t="s">
        <v>252</v>
      </c>
      <c r="B126" s="1706" t="s">
        <v>253</v>
      </c>
      <c r="C126" s="306"/>
      <c r="D126" s="2637"/>
      <c r="E126" s="2424"/>
      <c r="F126" s="257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12" t="str">
        <f>INDEX(PT_DIFFERENTIATION_NTAR,MATCH(B126,PT_DIFFERENTIATION_NTAR_ID,0))</f>
        <v/>
      </c>
      <c r="H126" s="1787"/>
      <c r="I126" s="1665"/>
      <c r="J126" s="1699"/>
      <c r="K126" s="1704"/>
      <c r="L126" s="1787" t="s">
        <v>313</v>
      </c>
      <c r="M126" s="279"/>
      <c r="N126" s="272"/>
      <c r="O126" s="1551"/>
      <c r="P126" s="1551"/>
      <c r="AH126" s="1558">
        <v>0</v>
      </c>
    </row>
    <row r="127" spans="1:34" s="1562" customFormat="1" ht="18.75" hidden="1" customHeight="1">
      <c r="A127" s="1706"/>
      <c r="B127" s="1706"/>
      <c r="C127" s="306" t="s">
        <v>1154</v>
      </c>
      <c r="D127" s="2637"/>
      <c r="E127" s="2424"/>
      <c r="F127" s="2575"/>
      <c r="G127" s="2612"/>
      <c r="H127" s="1427"/>
      <c r="I127" s="588" t="s">
        <v>1153</v>
      </c>
      <c r="J127" s="508"/>
      <c r="K127" s="1427"/>
      <c r="L127" s="152"/>
      <c r="M127" s="279"/>
      <c r="N127" s="272"/>
      <c r="O127" s="1551"/>
      <c r="P127" s="1551"/>
      <c r="AH127" s="1558">
        <v>0</v>
      </c>
    </row>
    <row r="128" spans="1:34" s="1562" customFormat="1" ht="0.75" hidden="1" customHeight="1">
      <c r="A128" s="1706"/>
      <c r="B128" s="1706"/>
      <c r="C128" s="306" t="s">
        <v>1163</v>
      </c>
      <c r="D128" s="2637"/>
      <c r="E128" s="2424"/>
      <c r="F128" s="2575"/>
      <c r="G128" s="337"/>
      <c r="H128" s="1427"/>
      <c r="I128" s="588"/>
      <c r="J128" s="508"/>
      <c r="K128" s="1427"/>
      <c r="L128" s="152"/>
      <c r="M128" s="279"/>
      <c r="N128" s="272"/>
      <c r="O128" s="1551"/>
      <c r="P128" s="1551"/>
      <c r="AH128" s="1558">
        <v>0</v>
      </c>
    </row>
    <row r="129" spans="1:34" s="1562" customFormat="1" ht="18.75" hidden="1" customHeight="1">
      <c r="A129" s="1706" t="s">
        <v>257</v>
      </c>
      <c r="B129" s="1706" t="s">
        <v>258</v>
      </c>
      <c r="C129" s="306"/>
      <c r="D129" s="2637"/>
      <c r="E129" s="2424"/>
      <c r="F129" s="2575" t="str">
        <f>INDEX(PT_DIFFERENTIATION_VTAR,MATCH(A129,PT_DIFFERENTIATION_VTAR_ID,0))</f>
        <v>Тариф на горячую воду (горячее водоснабжение)</v>
      </c>
      <c r="G129" s="2612" t="str">
        <f>INDEX(PT_DIFFERENTIATION_NTAR,MATCH(B129,PT_DIFFERENTIATION_NTAR_ID,0))</f>
        <v/>
      </c>
      <c r="H129" s="1787"/>
      <c r="I129" s="1665"/>
      <c r="J129" s="1699"/>
      <c r="K129" s="1704"/>
      <c r="L129" s="1787" t="s">
        <v>313</v>
      </c>
      <c r="M129" s="279"/>
      <c r="N129" s="272"/>
      <c r="O129" s="1551"/>
      <c r="P129" s="1551"/>
      <c r="AH129" s="1558">
        <v>0</v>
      </c>
    </row>
    <row r="130" spans="1:34" s="1562" customFormat="1" ht="18.75" hidden="1" customHeight="1">
      <c r="A130" s="1706"/>
      <c r="B130" s="1706"/>
      <c r="C130" s="306" t="s">
        <v>1154</v>
      </c>
      <c r="D130" s="2637"/>
      <c r="E130" s="2424"/>
      <c r="F130" s="2575"/>
      <c r="G130" s="2612"/>
      <c r="H130" s="1427"/>
      <c r="I130" s="588" t="s">
        <v>1153</v>
      </c>
      <c r="J130" s="508"/>
      <c r="K130" s="1427"/>
      <c r="L130" s="152"/>
      <c r="M130" s="279"/>
      <c r="N130" s="272"/>
      <c r="O130" s="1551"/>
      <c r="P130" s="1551"/>
      <c r="AH130" s="1558">
        <v>0</v>
      </c>
    </row>
    <row r="131" spans="1:34" s="1562" customFormat="1" ht="0.75" hidden="1" customHeight="1">
      <c r="A131" s="1706"/>
      <c r="B131" s="1706"/>
      <c r="C131" s="306" t="s">
        <v>1163</v>
      </c>
      <c r="D131" s="2637"/>
      <c r="E131" s="2424"/>
      <c r="F131" s="2575"/>
      <c r="G131" s="337"/>
      <c r="H131" s="1427"/>
      <c r="I131" s="588"/>
      <c r="J131" s="508"/>
      <c r="K131" s="1427"/>
      <c r="L131" s="152"/>
      <c r="M131" s="279"/>
      <c r="N131" s="272"/>
      <c r="O131" s="1551"/>
      <c r="P131" s="1551"/>
      <c r="AH131" s="1558">
        <v>0</v>
      </c>
    </row>
    <row r="132" spans="1:34" s="1562" customFormat="1" ht="18.75" hidden="1" customHeight="1">
      <c r="A132" s="1706" t="s">
        <v>262</v>
      </c>
      <c r="B132" s="1706" t="s">
        <v>263</v>
      </c>
      <c r="C132" s="306"/>
      <c r="D132" s="2637"/>
      <c r="E132" s="2424"/>
      <c r="F132" s="2575" t="str">
        <f>INDEX(PT_DIFFERENTIATION_VTAR,MATCH(A132,PT_DIFFERENTIATION_VTAR_ID,0))</f>
        <v>Тариф на транспортировку горячей воды</v>
      </c>
      <c r="G132" s="2612" t="str">
        <f>INDEX(PT_DIFFERENTIATION_NTAR,MATCH(B132,PT_DIFFERENTIATION_NTAR_ID,0))</f>
        <v/>
      </c>
      <c r="H132" s="1787"/>
      <c r="I132" s="1665"/>
      <c r="J132" s="1699"/>
      <c r="K132" s="1704"/>
      <c r="L132" s="1787" t="s">
        <v>313</v>
      </c>
      <c r="M132" s="279"/>
      <c r="N132" s="272"/>
      <c r="O132" s="1551"/>
      <c r="P132" s="1551"/>
      <c r="AH132" s="1558">
        <v>0</v>
      </c>
    </row>
    <row r="133" spans="1:34" s="1562" customFormat="1" ht="18.75" hidden="1" customHeight="1">
      <c r="A133" s="1706"/>
      <c r="B133" s="1706"/>
      <c r="C133" s="306" t="s">
        <v>1154</v>
      </c>
      <c r="D133" s="2637"/>
      <c r="E133" s="2424"/>
      <c r="F133" s="2575"/>
      <c r="G133" s="2612"/>
      <c r="H133" s="1427"/>
      <c r="I133" s="588" t="s">
        <v>1153</v>
      </c>
      <c r="J133" s="508"/>
      <c r="K133" s="1427"/>
      <c r="L133" s="152"/>
      <c r="M133" s="279"/>
      <c r="N133" s="272"/>
      <c r="O133" s="1551"/>
      <c r="P133" s="1551"/>
      <c r="AH133" s="1558">
        <v>0</v>
      </c>
    </row>
    <row r="134" spans="1:34" s="1562" customFormat="1" ht="0.75" hidden="1" customHeight="1">
      <c r="A134" s="1706"/>
      <c r="B134" s="1706"/>
      <c r="C134" s="306" t="s">
        <v>1163</v>
      </c>
      <c r="D134" s="2637"/>
      <c r="E134" s="2424"/>
      <c r="F134" s="2575"/>
      <c r="G134" s="337"/>
      <c r="H134" s="1427"/>
      <c r="I134" s="588"/>
      <c r="J134" s="508"/>
      <c r="K134" s="1427"/>
      <c r="L134" s="152"/>
      <c r="M134" s="279"/>
      <c r="N134" s="272"/>
      <c r="O134" s="1551"/>
      <c r="P134" s="1551"/>
      <c r="AH134" s="1558">
        <v>0</v>
      </c>
    </row>
    <row r="135" spans="1:34" s="1562" customFormat="1" ht="18.75" hidden="1" customHeight="1">
      <c r="A135" s="1706" t="s">
        <v>267</v>
      </c>
      <c r="B135" s="1706" t="s">
        <v>268</v>
      </c>
      <c r="C135" s="306"/>
      <c r="D135" s="2637"/>
      <c r="E135" s="2424"/>
      <c r="F135" s="257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12" t="str">
        <f>INDEX(PT_DIFFERENTIATION_NTAR,MATCH(B135,PT_DIFFERENTIATION_NTAR_ID,0))</f>
        <v/>
      </c>
      <c r="H135" s="1787"/>
      <c r="I135" s="1665"/>
      <c r="J135" s="1699"/>
      <c r="K135" s="1704"/>
      <c r="L135" s="1787" t="s">
        <v>313</v>
      </c>
      <c r="M135" s="279"/>
      <c r="N135" s="272"/>
      <c r="O135" s="1551"/>
      <c r="P135" s="1551"/>
      <c r="AH135" s="1558">
        <v>0</v>
      </c>
    </row>
    <row r="136" spans="1:34" s="1562" customFormat="1" ht="18.75" hidden="1" customHeight="1">
      <c r="A136" s="1706"/>
      <c r="B136" s="1706"/>
      <c r="C136" s="306" t="s">
        <v>1154</v>
      </c>
      <c r="D136" s="2637"/>
      <c r="E136" s="2424"/>
      <c r="F136" s="2575"/>
      <c r="G136" s="2612"/>
      <c r="H136" s="1427"/>
      <c r="I136" s="588" t="s">
        <v>1153</v>
      </c>
      <c r="J136" s="508"/>
      <c r="K136" s="1427"/>
      <c r="L136" s="152"/>
      <c r="M136" s="279"/>
      <c r="N136" s="272"/>
      <c r="O136" s="1551"/>
      <c r="P136" s="1551"/>
      <c r="AH136" s="1558">
        <v>0</v>
      </c>
    </row>
    <row r="137" spans="1:34" s="1562" customFormat="1" ht="0.75" hidden="1" customHeight="1">
      <c r="A137" s="1706"/>
      <c r="B137" s="1706"/>
      <c r="C137" s="306" t="s">
        <v>1163</v>
      </c>
      <c r="D137" s="2637"/>
      <c r="E137" s="2424"/>
      <c r="F137" s="2575"/>
      <c r="G137" s="337"/>
      <c r="H137" s="1427"/>
      <c r="I137" s="588"/>
      <c r="J137" s="508"/>
      <c r="K137" s="1427"/>
      <c r="L137" s="152"/>
      <c r="M137" s="279"/>
      <c r="N137" s="272"/>
      <c r="O137" s="1551"/>
      <c r="P137" s="1551"/>
      <c r="AH137" s="1558">
        <v>0</v>
      </c>
    </row>
    <row r="138" spans="1:34" s="1562" customFormat="1" ht="18.75" hidden="1" customHeight="1">
      <c r="A138" s="1706" t="s">
        <v>272</v>
      </c>
      <c r="B138" s="1706" t="s">
        <v>273</v>
      </c>
      <c r="C138" s="306"/>
      <c r="D138" s="2637"/>
      <c r="E138" s="2424"/>
      <c r="F138" s="2575" t="str">
        <f>INDEX(PT_DIFFERENTIATION_VTAR,MATCH(A138,PT_DIFFERENTIATION_VTAR_ID,0))</f>
        <v>Тариф на водоотведение</v>
      </c>
      <c r="G138" s="2612" t="str">
        <f>INDEX(PT_DIFFERENTIATION_NTAR,MATCH(B138,PT_DIFFERENTIATION_NTAR_ID,0))</f>
        <v/>
      </c>
      <c r="H138" s="1787"/>
      <c r="I138" s="1665"/>
      <c r="J138" s="1699"/>
      <c r="K138" s="1704"/>
      <c r="L138" s="1787" t="s">
        <v>313</v>
      </c>
      <c r="M138" s="279"/>
      <c r="N138" s="272"/>
      <c r="O138" s="1551"/>
      <c r="P138" s="1551"/>
      <c r="AH138" s="1558">
        <v>0</v>
      </c>
    </row>
    <row r="139" spans="1:34" s="1562" customFormat="1" ht="18.75" hidden="1" customHeight="1">
      <c r="A139" s="1706"/>
      <c r="B139" s="1706"/>
      <c r="C139" s="306" t="s">
        <v>1154</v>
      </c>
      <c r="D139" s="2637"/>
      <c r="E139" s="2424"/>
      <c r="F139" s="2575"/>
      <c r="G139" s="2612"/>
      <c r="H139" s="1427"/>
      <c r="I139" s="588" t="s">
        <v>1153</v>
      </c>
      <c r="J139" s="508"/>
      <c r="K139" s="1427"/>
      <c r="L139" s="152"/>
      <c r="M139" s="279"/>
      <c r="N139" s="272"/>
      <c r="O139" s="1551"/>
      <c r="P139" s="1551"/>
      <c r="AH139" s="1558">
        <v>0</v>
      </c>
    </row>
    <row r="140" spans="1:34" s="1562" customFormat="1" ht="0.75" hidden="1" customHeight="1">
      <c r="A140" s="1706"/>
      <c r="B140" s="1706"/>
      <c r="C140" s="306" t="s">
        <v>1163</v>
      </c>
      <c r="D140" s="2637"/>
      <c r="E140" s="2424"/>
      <c r="F140" s="2575"/>
      <c r="G140" s="337"/>
      <c r="H140" s="1427"/>
      <c r="I140" s="588"/>
      <c r="J140" s="508"/>
      <c r="K140" s="1427"/>
      <c r="L140" s="152"/>
      <c r="M140" s="279"/>
      <c r="N140" s="272"/>
      <c r="O140" s="1551"/>
      <c r="P140" s="1551"/>
      <c r="AH140" s="1558">
        <v>0</v>
      </c>
    </row>
    <row r="141" spans="1:34" s="1562" customFormat="1" ht="18.75" hidden="1" customHeight="1">
      <c r="A141" s="1706" t="s">
        <v>277</v>
      </c>
      <c r="B141" s="1706" t="s">
        <v>278</v>
      </c>
      <c r="C141" s="306"/>
      <c r="D141" s="2637"/>
      <c r="E141" s="2424"/>
      <c r="F141" s="2575" t="str">
        <f>INDEX(PT_DIFFERENTIATION_VTAR,MATCH(A141,PT_DIFFERENTIATION_VTAR_ID,0))</f>
        <v>Тариф на транспортировку сточных вод</v>
      </c>
      <c r="G141" s="2612" t="str">
        <f>INDEX(PT_DIFFERENTIATION_NTAR,MATCH(B141,PT_DIFFERENTIATION_NTAR_ID,0))</f>
        <v/>
      </c>
      <c r="H141" s="1787"/>
      <c r="I141" s="1665"/>
      <c r="J141" s="1699"/>
      <c r="K141" s="1704"/>
      <c r="L141" s="1787" t="s">
        <v>313</v>
      </c>
      <c r="M141" s="279"/>
      <c r="N141" s="272"/>
      <c r="O141" s="1551"/>
      <c r="P141" s="1551"/>
      <c r="AH141" s="1558">
        <v>0</v>
      </c>
    </row>
    <row r="142" spans="1:34" s="1562" customFormat="1" ht="18.75" hidden="1" customHeight="1">
      <c r="A142" s="1706"/>
      <c r="B142" s="1706"/>
      <c r="C142" s="306" t="s">
        <v>1154</v>
      </c>
      <c r="D142" s="2637"/>
      <c r="E142" s="2424"/>
      <c r="F142" s="2575"/>
      <c r="G142" s="2612"/>
      <c r="H142" s="1427"/>
      <c r="I142" s="588" t="s">
        <v>1153</v>
      </c>
      <c r="J142" s="508"/>
      <c r="K142" s="1427"/>
      <c r="L142" s="152"/>
      <c r="M142" s="279"/>
      <c r="N142" s="272"/>
      <c r="O142" s="1551"/>
      <c r="P142" s="1551"/>
      <c r="AH142" s="1558">
        <v>0</v>
      </c>
    </row>
    <row r="143" spans="1:34" s="1562" customFormat="1" ht="0.75" hidden="1" customHeight="1">
      <c r="A143" s="1706"/>
      <c r="B143" s="1706"/>
      <c r="C143" s="306" t="s">
        <v>1163</v>
      </c>
      <c r="D143" s="2637"/>
      <c r="E143" s="2424"/>
      <c r="F143" s="2575"/>
      <c r="G143" s="337"/>
      <c r="H143" s="1427"/>
      <c r="I143" s="588"/>
      <c r="J143" s="508"/>
      <c r="K143" s="1427"/>
      <c r="L143" s="152"/>
      <c r="M143" s="279"/>
      <c r="N143" s="272"/>
      <c r="O143" s="1551"/>
      <c r="P143" s="1551"/>
      <c r="AH143" s="1558">
        <v>0</v>
      </c>
    </row>
    <row r="144" spans="1:34" s="1562" customFormat="1" ht="18.75" hidden="1" customHeight="1">
      <c r="A144" s="1706" t="s">
        <v>282</v>
      </c>
      <c r="B144" s="1706" t="s">
        <v>283</v>
      </c>
      <c r="C144" s="306"/>
      <c r="D144" s="2637"/>
      <c r="E144" s="2424"/>
      <c r="F144" s="2575" t="str">
        <f>INDEX(PT_DIFFERENTIATION_VTAR,MATCH(A144,PT_DIFFERENTIATION_VTAR_ID,0))</f>
        <v>Тариф на подключение (технологическое присоединение) к централизованной системе водоотведения</v>
      </c>
      <c r="G144" s="2612" t="str">
        <f>INDEX(PT_DIFFERENTIATION_NTAR,MATCH(B144,PT_DIFFERENTIATION_NTAR_ID,0))</f>
        <v/>
      </c>
      <c r="H144" s="1787"/>
      <c r="I144" s="1665"/>
      <c r="J144" s="1699"/>
      <c r="K144" s="1704"/>
      <c r="L144" s="1787" t="s">
        <v>313</v>
      </c>
      <c r="M144" s="279"/>
      <c r="N144" s="272"/>
      <c r="O144" s="1551"/>
      <c r="P144" s="1551"/>
      <c r="AH144" s="1558">
        <v>0</v>
      </c>
    </row>
    <row r="145" spans="1:34" s="1562" customFormat="1" ht="18.75" hidden="1" customHeight="1">
      <c r="A145" s="1706"/>
      <c r="B145" s="1706"/>
      <c r="C145" s="306" t="s">
        <v>1154</v>
      </c>
      <c r="D145" s="2637"/>
      <c r="E145" s="2424"/>
      <c r="F145" s="2575"/>
      <c r="G145" s="2612"/>
      <c r="H145" s="1427"/>
      <c r="I145" s="588" t="s">
        <v>1153</v>
      </c>
      <c r="J145" s="508"/>
      <c r="K145" s="1427"/>
      <c r="L145" s="152"/>
      <c r="M145" s="279"/>
      <c r="N145" s="272"/>
      <c r="O145" s="1551"/>
      <c r="P145" s="1551"/>
      <c r="AH145" s="1558">
        <v>0</v>
      </c>
    </row>
    <row r="146" spans="1:34" s="1562" customFormat="1" ht="1.1499999999999999" customHeight="1">
      <c r="A146" s="1706"/>
      <c r="B146" s="1706"/>
      <c r="C146" s="306" t="s">
        <v>1163</v>
      </c>
      <c r="D146" s="2637"/>
      <c r="E146" s="2424"/>
      <c r="F146" s="2575"/>
      <c r="G146" s="337"/>
      <c r="H146" s="1427"/>
      <c r="I146" s="588"/>
      <c r="J146" s="508"/>
      <c r="K146" s="1427"/>
      <c r="L146" s="152"/>
      <c r="M146" s="279"/>
      <c r="N146" s="272"/>
      <c r="O146" s="1551"/>
      <c r="P146" s="1551"/>
      <c r="AH146" s="1558">
        <v>1</v>
      </c>
    </row>
    <row r="147" spans="1:34" ht="19.899999999999999" customHeight="1">
      <c r="A147" s="1706"/>
      <c r="B147" s="1706"/>
      <c r="D147" s="313"/>
      <c r="E147" s="85" t="s">
        <v>92</v>
      </c>
      <c r="F147" s="263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6"/>
      <c r="H147" s="2636"/>
      <c r="I147" s="2636"/>
      <c r="J147" s="2636"/>
      <c r="K147" s="2636"/>
      <c r="L147" s="2636"/>
      <c r="M147" s="235"/>
      <c r="N147" s="272"/>
      <c r="AH147" s="311">
        <v>19</v>
      </c>
    </row>
    <row r="148" spans="1:34" s="1562" customFormat="1" ht="60.75" hidden="1" customHeight="1">
      <c r="A148" s="1706" t="s">
        <v>156</v>
      </c>
      <c r="B148" s="1706" t="s">
        <v>157</v>
      </c>
      <c r="C148" s="306"/>
      <c r="D148" s="2637"/>
      <c r="E148" s="2424"/>
      <c r="F148" s="257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12" t="str">
        <f>INDEX(PT_DIFFERENTIATION_NTAR,MATCH(B148,PT_DIFFERENTIATION_NTAR_ID,0))</f>
        <v/>
      </c>
      <c r="H148" s="1787"/>
      <c r="I148" s="1665"/>
      <c r="J148" s="1699"/>
      <c r="K148" s="1704"/>
      <c r="L148" s="1787" t="s">
        <v>313</v>
      </c>
      <c r="M148" s="23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51"/>
      <c r="P148" s="1551"/>
      <c r="AH148" s="1558">
        <v>0</v>
      </c>
    </row>
    <row r="149" spans="1:34" s="1562" customFormat="1" ht="18.75" hidden="1" customHeight="1">
      <c r="A149" s="1706"/>
      <c r="B149" s="1706"/>
      <c r="C149" s="306" t="s">
        <v>1154</v>
      </c>
      <c r="D149" s="2637"/>
      <c r="E149" s="2424"/>
      <c r="F149" s="2575"/>
      <c r="G149" s="2612"/>
      <c r="H149" s="1427"/>
      <c r="I149" s="588" t="s">
        <v>1153</v>
      </c>
      <c r="J149" s="508"/>
      <c r="K149" s="1427"/>
      <c r="L149" s="152"/>
      <c r="M149" s="2379"/>
      <c r="N149" s="272"/>
      <c r="O149" s="1551"/>
      <c r="P149" s="1551"/>
      <c r="AH149" s="1558">
        <v>0</v>
      </c>
    </row>
    <row r="150" spans="1:34" s="1562" customFormat="1" ht="0.75" hidden="1" customHeight="1">
      <c r="A150" s="1706"/>
      <c r="B150" s="1706"/>
      <c r="C150" s="306" t="s">
        <v>1163</v>
      </c>
      <c r="D150" s="2637"/>
      <c r="E150" s="2424"/>
      <c r="F150" s="2575"/>
      <c r="G150" s="337"/>
      <c r="H150" s="1427"/>
      <c r="I150" s="588"/>
      <c r="J150" s="508"/>
      <c r="K150" s="1427"/>
      <c r="L150" s="152"/>
      <c r="M150" s="2379"/>
      <c r="N150" s="272"/>
      <c r="O150" s="1551"/>
      <c r="P150" s="1551"/>
      <c r="AH150" s="1558">
        <v>0</v>
      </c>
    </row>
    <row r="151" spans="1:34" s="1562" customFormat="1" ht="45" customHeight="1">
      <c r="A151" s="1706" t="s">
        <v>164</v>
      </c>
      <c r="B151" s="1706" t="s">
        <v>165</v>
      </c>
      <c r="C151" s="306"/>
      <c r="D151" s="2637"/>
      <c r="E151" s="2424"/>
      <c r="F151" s="2575"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612" t="str">
        <f>INDEX(PT_DIFFERENTIATION_NTAR,MATCH(B151,PT_DIFFERENTIATION_NTAR_ID,0))</f>
        <v>Тариф на тепловую энергию (мощность), поставляемую потребителям</v>
      </c>
      <c r="H151" s="1787"/>
      <c r="I151" s="1665">
        <v>46023</v>
      </c>
      <c r="J151" s="1699">
        <v>46387</v>
      </c>
      <c r="K151" s="1704">
        <v>312.35300000000001</v>
      </c>
      <c r="L151" s="1787" t="s">
        <v>313</v>
      </c>
      <c r="M151" s="2380"/>
      <c r="N151" s="272"/>
      <c r="O151" s="1551"/>
      <c r="P151" s="1551"/>
      <c r="AH151" s="1558">
        <v>0</v>
      </c>
    </row>
    <row r="152" spans="1:34" s="1562" customFormat="1" ht="18.75" customHeight="1">
      <c r="A152" s="1706"/>
      <c r="B152" s="1706"/>
      <c r="C152" s="306" t="s">
        <v>1154</v>
      </c>
      <c r="D152" s="2637"/>
      <c r="E152" s="2424"/>
      <c r="F152" s="2575"/>
      <c r="G152" s="2612"/>
      <c r="H152" s="1427"/>
      <c r="I152" s="588" t="s">
        <v>1153</v>
      </c>
      <c r="J152" s="508"/>
      <c r="K152" s="1427"/>
      <c r="L152" s="152"/>
      <c r="M152" s="1786"/>
      <c r="N152" s="272"/>
      <c r="O152" s="1551"/>
      <c r="P152" s="1551"/>
      <c r="AH152" s="1558">
        <v>0</v>
      </c>
    </row>
    <row r="153" spans="1:34" s="1562" customFormat="1" ht="0.75" customHeight="1">
      <c r="A153" s="1706"/>
      <c r="B153" s="1706"/>
      <c r="C153" s="306" t="s">
        <v>1163</v>
      </c>
      <c r="D153" s="2637"/>
      <c r="E153" s="2424"/>
      <c r="F153" s="2575"/>
      <c r="G153" s="337"/>
      <c r="H153" s="1427"/>
      <c r="I153" s="588"/>
      <c r="J153" s="508"/>
      <c r="K153" s="1427"/>
      <c r="L153" s="152"/>
      <c r="M153" s="279"/>
      <c r="N153" s="272"/>
      <c r="O153" s="1551"/>
      <c r="P153" s="1551"/>
      <c r="AH153" s="1558">
        <v>0</v>
      </c>
    </row>
    <row r="154" spans="1:34" s="1562" customFormat="1" ht="45" hidden="1" customHeight="1">
      <c r="A154" s="1706" t="s">
        <v>174</v>
      </c>
      <c r="B154" s="1706" t="s">
        <v>175</v>
      </c>
      <c r="C154" s="306"/>
      <c r="D154" s="2637"/>
      <c r="E154" s="2424"/>
      <c r="F154" s="257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12" t="str">
        <f>INDEX(PT_DIFFERENTIATION_NTAR,MATCH(B154,PT_DIFFERENTIATION_NTAR_ID,0))</f>
        <v/>
      </c>
      <c r="H154" s="1787"/>
      <c r="I154" s="1665"/>
      <c r="J154" s="1699"/>
      <c r="K154" s="1704"/>
      <c r="L154" s="1787" t="s">
        <v>313</v>
      </c>
      <c r="M154" s="279"/>
      <c r="N154" s="272"/>
      <c r="O154" s="1551"/>
      <c r="P154" s="1551"/>
      <c r="AH154" s="1558">
        <v>0</v>
      </c>
    </row>
    <row r="155" spans="1:34" s="1562" customFormat="1" ht="18.75" hidden="1" customHeight="1">
      <c r="A155" s="1706"/>
      <c r="B155" s="1706"/>
      <c r="C155" s="306" t="s">
        <v>1154</v>
      </c>
      <c r="D155" s="2637"/>
      <c r="E155" s="2424"/>
      <c r="F155" s="2575"/>
      <c r="G155" s="2612"/>
      <c r="H155" s="1427"/>
      <c r="I155" s="588" t="s">
        <v>1153</v>
      </c>
      <c r="J155" s="508"/>
      <c r="K155" s="1427"/>
      <c r="L155" s="152"/>
      <c r="M155" s="279"/>
      <c r="N155" s="272"/>
      <c r="O155" s="1551"/>
      <c r="P155" s="1551"/>
      <c r="AH155" s="1558">
        <v>0</v>
      </c>
    </row>
    <row r="156" spans="1:34" s="1562" customFormat="1" ht="0.75" hidden="1" customHeight="1">
      <c r="A156" s="1706"/>
      <c r="B156" s="1706"/>
      <c r="C156" s="306" t="s">
        <v>1163</v>
      </c>
      <c r="D156" s="2637"/>
      <c r="E156" s="2424"/>
      <c r="F156" s="2575"/>
      <c r="G156" s="337"/>
      <c r="H156" s="1427"/>
      <c r="I156" s="588"/>
      <c r="J156" s="508"/>
      <c r="K156" s="1427"/>
      <c r="L156" s="152"/>
      <c r="M156" s="279"/>
      <c r="N156" s="272"/>
      <c r="O156" s="1551"/>
      <c r="P156" s="1551"/>
      <c r="AH156" s="1558">
        <v>0</v>
      </c>
    </row>
    <row r="157" spans="1:34" s="1562" customFormat="1" ht="45" customHeight="1">
      <c r="A157" s="1706" t="s">
        <v>182</v>
      </c>
      <c r="B157" s="1706" t="s">
        <v>183</v>
      </c>
      <c r="C157" s="306"/>
      <c r="D157" s="2637"/>
      <c r="E157" s="2424"/>
      <c r="F157" s="257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12" t="str">
        <f>INDEX(PT_DIFFERENTIATION_NTAR,MATCH(B157,PT_DIFFERENTIATION_NTAR_ID,0))</f>
        <v>Тариф на горячую воду в открытой системе теплоснабжения (горячее водоснабжение)</v>
      </c>
      <c r="H157" s="1787"/>
      <c r="I157" s="1665">
        <v>46023</v>
      </c>
      <c r="J157" s="1699">
        <v>46387</v>
      </c>
      <c r="K157" s="1704">
        <v>1072.2049999999999</v>
      </c>
      <c r="L157" s="1787" t="s">
        <v>313</v>
      </c>
      <c r="M157" s="279"/>
      <c r="N157" s="272"/>
      <c r="O157" s="1551"/>
      <c r="P157" s="1551"/>
      <c r="AH157" s="1558">
        <v>0</v>
      </c>
    </row>
    <row r="158" spans="1:34" s="1562" customFormat="1" ht="18.75" customHeight="1">
      <c r="A158" s="1706"/>
      <c r="B158" s="1706"/>
      <c r="C158" s="306" t="s">
        <v>1154</v>
      </c>
      <c r="D158" s="2637"/>
      <c r="E158" s="2424"/>
      <c r="F158" s="2575"/>
      <c r="G158" s="2612"/>
      <c r="H158" s="1427"/>
      <c r="I158" s="588" t="s">
        <v>1153</v>
      </c>
      <c r="J158" s="508"/>
      <c r="K158" s="1427"/>
      <c r="L158" s="152"/>
      <c r="M158" s="279"/>
      <c r="N158" s="272"/>
      <c r="O158" s="1551"/>
      <c r="P158" s="1551"/>
      <c r="AH158" s="1558">
        <v>0</v>
      </c>
    </row>
    <row r="159" spans="1:34" s="1562" customFormat="1" ht="0.75" customHeight="1">
      <c r="A159" s="1706"/>
      <c r="B159" s="1706"/>
      <c r="C159" s="306" t="s">
        <v>1163</v>
      </c>
      <c r="D159" s="2637"/>
      <c r="E159" s="2424"/>
      <c r="F159" s="2575"/>
      <c r="G159" s="337"/>
      <c r="H159" s="1427"/>
      <c r="I159" s="588"/>
      <c r="J159" s="508"/>
      <c r="K159" s="1427"/>
      <c r="L159" s="152"/>
      <c r="M159" s="279"/>
      <c r="N159" s="272"/>
      <c r="O159" s="1551"/>
      <c r="P159" s="1551"/>
      <c r="AH159" s="1558">
        <v>0</v>
      </c>
    </row>
    <row r="160" spans="1:34" s="1562" customFormat="1" ht="18.75" hidden="1" customHeight="1">
      <c r="A160" s="1706" t="s">
        <v>188</v>
      </c>
      <c r="B160" s="1706" t="s">
        <v>189</v>
      </c>
      <c r="C160" s="306"/>
      <c r="D160" s="2637"/>
      <c r="E160" s="2424"/>
      <c r="F160" s="2575" t="str">
        <f>INDEX(PT_DIFFERENTIATION_VTAR,MATCH(A160,PT_DIFFERENTIATION_VTAR_ID,0))</f>
        <v>Тарифы на услуги по передаче тепловой энергии</v>
      </c>
      <c r="G160" s="2612" t="str">
        <f>INDEX(PT_DIFFERENTIATION_NTAR,MATCH(B160,PT_DIFFERENTIATION_NTAR_ID,0))</f>
        <v/>
      </c>
      <c r="H160" s="1787"/>
      <c r="I160" s="1665"/>
      <c r="J160" s="1699"/>
      <c r="K160" s="1704"/>
      <c r="L160" s="1787" t="s">
        <v>313</v>
      </c>
      <c r="M160" s="279"/>
      <c r="N160" s="272"/>
      <c r="O160" s="1551"/>
      <c r="P160" s="1551"/>
      <c r="AH160" s="1558">
        <v>0</v>
      </c>
    </row>
    <row r="161" spans="1:34" s="1562" customFormat="1" ht="18.75" hidden="1" customHeight="1">
      <c r="A161" s="1706"/>
      <c r="B161" s="1706"/>
      <c r="C161" s="306" t="s">
        <v>1154</v>
      </c>
      <c r="D161" s="2637"/>
      <c r="E161" s="2424"/>
      <c r="F161" s="2575"/>
      <c r="G161" s="2612"/>
      <c r="H161" s="1427"/>
      <c r="I161" s="588" t="s">
        <v>1153</v>
      </c>
      <c r="J161" s="508"/>
      <c r="K161" s="1427"/>
      <c r="L161" s="152"/>
      <c r="M161" s="279"/>
      <c r="N161" s="272"/>
      <c r="O161" s="1551"/>
      <c r="P161" s="1551"/>
      <c r="AH161" s="1558">
        <v>0</v>
      </c>
    </row>
    <row r="162" spans="1:34" s="1562" customFormat="1" ht="0.75" hidden="1" customHeight="1">
      <c r="A162" s="1706"/>
      <c r="B162" s="1706"/>
      <c r="C162" s="306" t="s">
        <v>1163</v>
      </c>
      <c r="D162" s="2637"/>
      <c r="E162" s="2424"/>
      <c r="F162" s="2575"/>
      <c r="G162" s="337"/>
      <c r="H162" s="1427"/>
      <c r="I162" s="588"/>
      <c r="J162" s="508"/>
      <c r="K162" s="1427"/>
      <c r="L162" s="152"/>
      <c r="M162" s="279"/>
      <c r="N162" s="272"/>
      <c r="O162" s="1551"/>
      <c r="P162" s="1551"/>
      <c r="AH162" s="1558">
        <v>0</v>
      </c>
    </row>
    <row r="163" spans="1:34" s="1562" customFormat="1" ht="18.75" hidden="1" customHeight="1">
      <c r="A163" s="1706" t="s">
        <v>194</v>
      </c>
      <c r="B163" s="1706" t="s">
        <v>195</v>
      </c>
      <c r="C163" s="306"/>
      <c r="D163" s="2637"/>
      <c r="E163" s="2424"/>
      <c r="F163" s="2575" t="str">
        <f>INDEX(PT_DIFFERENTIATION_VTAR,MATCH(A163,PT_DIFFERENTIATION_VTAR_ID,0))</f>
        <v>Тарифы на услуги по передаче теплоносителя</v>
      </c>
      <c r="G163" s="2612" t="str">
        <f>INDEX(PT_DIFFERENTIATION_NTAR,MATCH(B163,PT_DIFFERENTIATION_NTAR_ID,0))</f>
        <v/>
      </c>
      <c r="H163" s="1787"/>
      <c r="I163" s="1665"/>
      <c r="J163" s="1699"/>
      <c r="K163" s="1704"/>
      <c r="L163" s="1787" t="s">
        <v>313</v>
      </c>
      <c r="M163" s="279"/>
      <c r="N163" s="272"/>
      <c r="O163" s="1551"/>
      <c r="P163" s="1551"/>
      <c r="AH163" s="1558">
        <v>0</v>
      </c>
    </row>
    <row r="164" spans="1:34" s="1562" customFormat="1" ht="18.75" hidden="1" customHeight="1">
      <c r="A164" s="1706"/>
      <c r="B164" s="1706"/>
      <c r="C164" s="306" t="s">
        <v>1154</v>
      </c>
      <c r="D164" s="2637"/>
      <c r="E164" s="2424"/>
      <c r="F164" s="2575"/>
      <c r="G164" s="2612"/>
      <c r="H164" s="1427"/>
      <c r="I164" s="588" t="s">
        <v>1153</v>
      </c>
      <c r="J164" s="508"/>
      <c r="K164" s="1427"/>
      <c r="L164" s="152"/>
      <c r="M164" s="279"/>
      <c r="N164" s="272"/>
      <c r="O164" s="1551"/>
      <c r="P164" s="1551"/>
      <c r="AH164" s="1558">
        <v>0</v>
      </c>
    </row>
    <row r="165" spans="1:34" s="1562" customFormat="1" ht="0.75" hidden="1" customHeight="1">
      <c r="A165" s="1706"/>
      <c r="B165" s="1706"/>
      <c r="C165" s="306" t="s">
        <v>1163</v>
      </c>
      <c r="D165" s="2637"/>
      <c r="E165" s="2424"/>
      <c r="F165" s="2575"/>
      <c r="G165" s="337"/>
      <c r="H165" s="1427"/>
      <c r="I165" s="588"/>
      <c r="J165" s="508"/>
      <c r="K165" s="1427"/>
      <c r="L165" s="152"/>
      <c r="M165" s="279"/>
      <c r="N165" s="272"/>
      <c r="O165" s="1551"/>
      <c r="P165" s="1551"/>
      <c r="AH165" s="1558">
        <v>0</v>
      </c>
    </row>
    <row r="166" spans="1:34" s="1562" customFormat="1" ht="18.75" hidden="1" customHeight="1">
      <c r="A166" s="1706" t="s">
        <v>200</v>
      </c>
      <c r="B166" s="1706" t="s">
        <v>201</v>
      </c>
      <c r="C166" s="306"/>
      <c r="D166" s="2637"/>
      <c r="E166" s="2424"/>
      <c r="F166" s="257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12" t="str">
        <f>INDEX(PT_DIFFERENTIATION_NTAR,MATCH(B166,PT_DIFFERENTIATION_NTAR_ID,0))</f>
        <v/>
      </c>
      <c r="H166" s="1787"/>
      <c r="I166" s="1665"/>
      <c r="J166" s="1699"/>
      <c r="K166" s="1704"/>
      <c r="L166" s="1787" t="s">
        <v>313</v>
      </c>
      <c r="M166" s="279"/>
      <c r="N166" s="272"/>
      <c r="O166" s="1551"/>
      <c r="P166" s="1551"/>
      <c r="AH166" s="1558">
        <v>0</v>
      </c>
    </row>
    <row r="167" spans="1:34" s="1562" customFormat="1" ht="18.75" hidden="1" customHeight="1">
      <c r="A167" s="1706"/>
      <c r="B167" s="1706"/>
      <c r="C167" s="306" t="s">
        <v>1154</v>
      </c>
      <c r="D167" s="2637"/>
      <c r="E167" s="2424"/>
      <c r="F167" s="2575"/>
      <c r="G167" s="2612"/>
      <c r="H167" s="1427"/>
      <c r="I167" s="588" t="s">
        <v>1153</v>
      </c>
      <c r="J167" s="508"/>
      <c r="K167" s="1427"/>
      <c r="L167" s="152"/>
      <c r="M167" s="279"/>
      <c r="N167" s="272"/>
      <c r="O167" s="1551"/>
      <c r="P167" s="1551"/>
      <c r="AH167" s="1558">
        <v>0</v>
      </c>
    </row>
    <row r="168" spans="1:34" s="1562" customFormat="1" ht="0.75" hidden="1" customHeight="1">
      <c r="A168" s="1706"/>
      <c r="B168" s="1706"/>
      <c r="C168" s="306" t="s">
        <v>1163</v>
      </c>
      <c r="D168" s="2637"/>
      <c r="E168" s="2424"/>
      <c r="F168" s="2575"/>
      <c r="G168" s="337"/>
      <c r="H168" s="1427"/>
      <c r="I168" s="588"/>
      <c r="J168" s="508"/>
      <c r="K168" s="1427"/>
      <c r="L168" s="152"/>
      <c r="M168" s="279"/>
      <c r="N168" s="272"/>
      <c r="O168" s="1551"/>
      <c r="P168" s="1551"/>
      <c r="AH168" s="1558">
        <v>0</v>
      </c>
    </row>
    <row r="169" spans="1:34" s="1562" customFormat="1" ht="18.75" hidden="1" customHeight="1">
      <c r="A169" s="1706" t="s">
        <v>206</v>
      </c>
      <c r="B169" s="1706" t="s">
        <v>207</v>
      </c>
      <c r="C169" s="306"/>
      <c r="D169" s="2637"/>
      <c r="E169" s="2424"/>
      <c r="F169" s="2575" t="str">
        <f>INDEX(PT_DIFFERENTIATION_VTAR,MATCH(A169,PT_DIFFERENTIATION_VTAR_ID,0))</f>
        <v>Плата за подключение (технологическое присоединение) к системе теплоснабжения</v>
      </c>
      <c r="G169" s="2612" t="str">
        <f>INDEX(PT_DIFFERENTIATION_NTAR,MATCH(B169,PT_DIFFERENTIATION_NTAR_ID,0))</f>
        <v/>
      </c>
      <c r="H169" s="1787"/>
      <c r="I169" s="1665"/>
      <c r="J169" s="1699"/>
      <c r="K169" s="1704"/>
      <c r="L169" s="1787" t="s">
        <v>313</v>
      </c>
      <c r="M169" s="279"/>
      <c r="N169" s="272"/>
      <c r="O169" s="1551"/>
      <c r="P169" s="1551"/>
      <c r="AH169" s="1558">
        <v>0</v>
      </c>
    </row>
    <row r="170" spans="1:34" s="1562" customFormat="1" ht="18.75" hidden="1" customHeight="1">
      <c r="A170" s="1706"/>
      <c r="B170" s="1706"/>
      <c r="C170" s="306" t="s">
        <v>1154</v>
      </c>
      <c r="D170" s="2637"/>
      <c r="E170" s="2424"/>
      <c r="F170" s="2575"/>
      <c r="G170" s="2612"/>
      <c r="H170" s="1427"/>
      <c r="I170" s="588" t="s">
        <v>1153</v>
      </c>
      <c r="J170" s="508"/>
      <c r="K170" s="1427"/>
      <c r="L170" s="152"/>
      <c r="M170" s="279"/>
      <c r="N170" s="272"/>
      <c r="O170" s="1551"/>
      <c r="P170" s="1551"/>
      <c r="AH170" s="1558">
        <v>0</v>
      </c>
    </row>
    <row r="171" spans="1:34" s="1562" customFormat="1" ht="0.75" hidden="1" customHeight="1">
      <c r="A171" s="1706"/>
      <c r="B171" s="1706"/>
      <c r="C171" s="306" t="s">
        <v>1163</v>
      </c>
      <c r="D171" s="2637"/>
      <c r="E171" s="2424"/>
      <c r="F171" s="2575"/>
      <c r="G171" s="337"/>
      <c r="H171" s="1427"/>
      <c r="I171" s="588"/>
      <c r="J171" s="508"/>
      <c r="K171" s="1427"/>
      <c r="L171" s="152"/>
      <c r="M171" s="279"/>
      <c r="N171" s="272"/>
      <c r="O171" s="1551"/>
      <c r="P171" s="1551"/>
      <c r="AH171" s="1558">
        <v>0</v>
      </c>
    </row>
    <row r="172" spans="1:34" s="1562" customFormat="1" ht="18.75" hidden="1" customHeight="1">
      <c r="A172" s="1706" t="s">
        <v>212</v>
      </c>
      <c r="B172" s="1706" t="s">
        <v>213</v>
      </c>
      <c r="C172" s="306"/>
      <c r="D172" s="2637"/>
      <c r="E172" s="2424"/>
      <c r="F172" s="2575" t="str">
        <f>INDEX(PT_DIFFERENTIATION_VTAR,MATCH(A172,PT_DIFFERENTIATION_VTAR_ID,0))</f>
        <v>Плата за подключение (технологическое присоединение) к системе теплоснабжения (индивидуальная)</v>
      </c>
      <c r="G172" s="2612" t="str">
        <f>INDEX(PT_DIFFERENTIATION_NTAR,MATCH(B172,PT_DIFFERENTIATION_NTAR_ID,0))</f>
        <v/>
      </c>
      <c r="H172" s="1911"/>
      <c r="I172" s="1665"/>
      <c r="J172" s="1699"/>
      <c r="K172" s="1704"/>
      <c r="L172" s="1911" t="s">
        <v>313</v>
      </c>
      <c r="M172" s="279"/>
      <c r="N172" s="272"/>
      <c r="O172" s="1551"/>
      <c r="P172" s="1551"/>
      <c r="AH172" s="1558">
        <v>0</v>
      </c>
    </row>
    <row r="173" spans="1:34" s="1562" customFormat="1" ht="18.75" hidden="1" customHeight="1">
      <c r="A173" s="1706"/>
      <c r="B173" s="1706"/>
      <c r="C173" s="306" t="s">
        <v>1154</v>
      </c>
      <c r="D173" s="2637"/>
      <c r="E173" s="2424"/>
      <c r="F173" s="2575"/>
      <c r="G173" s="2612"/>
      <c r="H173" s="1427"/>
      <c r="I173" s="588" t="s">
        <v>1153</v>
      </c>
      <c r="J173" s="508"/>
      <c r="K173" s="1427"/>
      <c r="L173" s="152"/>
      <c r="M173" s="279"/>
      <c r="N173" s="272"/>
      <c r="O173" s="1551"/>
      <c r="P173" s="1551"/>
      <c r="AH173" s="1558">
        <v>0</v>
      </c>
    </row>
    <row r="174" spans="1:34" s="1562" customFormat="1" ht="0.75" hidden="1" customHeight="1">
      <c r="A174" s="1706"/>
      <c r="B174" s="1706"/>
      <c r="C174" s="306" t="s">
        <v>1163</v>
      </c>
      <c r="D174" s="2637"/>
      <c r="E174" s="2424"/>
      <c r="F174" s="2575"/>
      <c r="G174" s="337"/>
      <c r="H174" s="1427"/>
      <c r="I174" s="588"/>
      <c r="J174" s="508"/>
      <c r="K174" s="1427"/>
      <c r="L174" s="152"/>
      <c r="M174" s="279"/>
      <c r="N174" s="272"/>
      <c r="O174" s="1551"/>
      <c r="P174" s="1551"/>
      <c r="AH174" s="1558">
        <v>0</v>
      </c>
    </row>
    <row r="175" spans="1:34" s="1562" customFormat="1" ht="18.75" hidden="1" customHeight="1">
      <c r="A175" s="1706" t="s">
        <v>232</v>
      </c>
      <c r="B175" s="1706" t="s">
        <v>233</v>
      </c>
      <c r="C175" s="306"/>
      <c r="D175" s="2637"/>
      <c r="E175" s="2424"/>
      <c r="F175" s="2575" t="str">
        <f>INDEX(PT_DIFFERENTIATION_VTAR,MATCH(A175,PT_DIFFERENTIATION_VTAR_ID,0))</f>
        <v>Тариф на питьевую воду (питьевое водоснабжение)</v>
      </c>
      <c r="G175" s="2612" t="str">
        <f>INDEX(PT_DIFFERENTIATION_NTAR,MATCH(B175,PT_DIFFERENTIATION_NTAR_ID,0))</f>
        <v/>
      </c>
      <c r="H175" s="1787"/>
      <c r="I175" s="1665"/>
      <c r="J175" s="1699"/>
      <c r="K175" s="1704"/>
      <c r="L175" s="1787" t="s">
        <v>313</v>
      </c>
      <c r="M175" s="279"/>
      <c r="N175" s="272"/>
      <c r="O175" s="1551"/>
      <c r="P175" s="1551"/>
      <c r="AH175" s="1558">
        <v>0</v>
      </c>
    </row>
    <row r="176" spans="1:34" s="1562" customFormat="1" ht="18.75" hidden="1" customHeight="1">
      <c r="A176" s="1706"/>
      <c r="B176" s="1706"/>
      <c r="C176" s="306" t="s">
        <v>1154</v>
      </c>
      <c r="D176" s="2637"/>
      <c r="E176" s="2424"/>
      <c r="F176" s="2575"/>
      <c r="G176" s="2612"/>
      <c r="H176" s="1427"/>
      <c r="I176" s="588" t="s">
        <v>1153</v>
      </c>
      <c r="J176" s="508"/>
      <c r="K176" s="1427"/>
      <c r="L176" s="152"/>
      <c r="M176" s="279"/>
      <c r="N176" s="272"/>
      <c r="O176" s="1551"/>
      <c r="P176" s="1551"/>
      <c r="AH176" s="1558">
        <v>0</v>
      </c>
    </row>
    <row r="177" spans="1:34" s="1562" customFormat="1" ht="0.75" hidden="1" customHeight="1">
      <c r="A177" s="1706"/>
      <c r="B177" s="1706"/>
      <c r="C177" s="306" t="s">
        <v>1163</v>
      </c>
      <c r="D177" s="2637"/>
      <c r="E177" s="2424"/>
      <c r="F177" s="2575"/>
      <c r="G177" s="337"/>
      <c r="H177" s="1427"/>
      <c r="I177" s="588"/>
      <c r="J177" s="508"/>
      <c r="K177" s="1427"/>
      <c r="L177" s="152"/>
      <c r="M177" s="279"/>
      <c r="N177" s="272"/>
      <c r="O177" s="1551"/>
      <c r="P177" s="1551"/>
      <c r="AH177" s="1558">
        <v>0</v>
      </c>
    </row>
    <row r="178" spans="1:34" s="1562" customFormat="1" ht="18.75" hidden="1" customHeight="1">
      <c r="A178" s="1706" t="s">
        <v>237</v>
      </c>
      <c r="B178" s="1706" t="s">
        <v>238</v>
      </c>
      <c r="C178" s="306"/>
      <c r="D178" s="2637"/>
      <c r="E178" s="2424"/>
      <c r="F178" s="2575" t="str">
        <f>INDEX(PT_DIFFERENTIATION_VTAR,MATCH(A178,PT_DIFFERENTIATION_VTAR_ID,0))</f>
        <v>Тариф на техническую воду</v>
      </c>
      <c r="G178" s="2612" t="str">
        <f>INDEX(PT_DIFFERENTIATION_NTAR,MATCH(B178,PT_DIFFERENTIATION_NTAR_ID,0))</f>
        <v/>
      </c>
      <c r="H178" s="1787"/>
      <c r="I178" s="1665"/>
      <c r="J178" s="1699"/>
      <c r="K178" s="1704"/>
      <c r="L178" s="1787" t="s">
        <v>313</v>
      </c>
      <c r="M178" s="279"/>
      <c r="N178" s="272"/>
      <c r="O178" s="1551"/>
      <c r="P178" s="1551"/>
      <c r="AH178" s="1558">
        <v>0</v>
      </c>
    </row>
    <row r="179" spans="1:34" s="1562" customFormat="1" ht="18.75" hidden="1" customHeight="1">
      <c r="A179" s="1706"/>
      <c r="B179" s="1706"/>
      <c r="C179" s="306" t="s">
        <v>1154</v>
      </c>
      <c r="D179" s="2637"/>
      <c r="E179" s="2424"/>
      <c r="F179" s="2575"/>
      <c r="G179" s="2612"/>
      <c r="H179" s="1427"/>
      <c r="I179" s="588" t="s">
        <v>1153</v>
      </c>
      <c r="J179" s="508"/>
      <c r="K179" s="1427"/>
      <c r="L179" s="152"/>
      <c r="M179" s="279"/>
      <c r="N179" s="272"/>
      <c r="O179" s="1551"/>
      <c r="P179" s="1551"/>
      <c r="AH179" s="1558">
        <v>0</v>
      </c>
    </row>
    <row r="180" spans="1:34" s="1562" customFormat="1" ht="0.75" hidden="1" customHeight="1">
      <c r="A180" s="1706"/>
      <c r="B180" s="1706"/>
      <c r="C180" s="306" t="s">
        <v>1163</v>
      </c>
      <c r="D180" s="2637"/>
      <c r="E180" s="2424"/>
      <c r="F180" s="2575"/>
      <c r="G180" s="337"/>
      <c r="H180" s="1427"/>
      <c r="I180" s="588"/>
      <c r="J180" s="508"/>
      <c r="K180" s="1427"/>
      <c r="L180" s="152"/>
      <c r="M180" s="279"/>
      <c r="N180" s="272"/>
      <c r="O180" s="1551"/>
      <c r="P180" s="1551"/>
      <c r="AH180" s="1558">
        <v>0</v>
      </c>
    </row>
    <row r="181" spans="1:34" s="1562" customFormat="1" ht="18.75" hidden="1" customHeight="1">
      <c r="A181" s="1706" t="s">
        <v>242</v>
      </c>
      <c r="B181" s="1706" t="s">
        <v>243</v>
      </c>
      <c r="C181" s="306"/>
      <c r="D181" s="2637"/>
      <c r="E181" s="2424"/>
      <c r="F181" s="2575" t="str">
        <f>INDEX(PT_DIFFERENTIATION_VTAR,MATCH(A181,PT_DIFFERENTIATION_VTAR_ID,0))</f>
        <v>Тариф на транспортировку воды</v>
      </c>
      <c r="G181" s="2612" t="str">
        <f>INDEX(PT_DIFFERENTIATION_NTAR,MATCH(B181,PT_DIFFERENTIATION_NTAR_ID,0))</f>
        <v/>
      </c>
      <c r="H181" s="1787"/>
      <c r="I181" s="1665"/>
      <c r="J181" s="1699"/>
      <c r="K181" s="1704"/>
      <c r="L181" s="1787" t="s">
        <v>313</v>
      </c>
      <c r="M181" s="279"/>
      <c r="N181" s="272"/>
      <c r="O181" s="1551"/>
      <c r="P181" s="1551"/>
      <c r="AH181" s="1558">
        <v>0</v>
      </c>
    </row>
    <row r="182" spans="1:34" s="1562" customFormat="1" ht="18.75" hidden="1" customHeight="1">
      <c r="A182" s="1706"/>
      <c r="B182" s="1706"/>
      <c r="C182" s="306" t="s">
        <v>1154</v>
      </c>
      <c r="D182" s="2637"/>
      <c r="E182" s="2424"/>
      <c r="F182" s="2575"/>
      <c r="G182" s="2612"/>
      <c r="H182" s="1427"/>
      <c r="I182" s="588" t="s">
        <v>1153</v>
      </c>
      <c r="J182" s="508"/>
      <c r="K182" s="1427"/>
      <c r="L182" s="152"/>
      <c r="M182" s="279"/>
      <c r="N182" s="272"/>
      <c r="O182" s="1551"/>
      <c r="P182" s="1551"/>
      <c r="AH182" s="1558">
        <v>0</v>
      </c>
    </row>
    <row r="183" spans="1:34" s="1562" customFormat="1" ht="0.75" hidden="1" customHeight="1">
      <c r="A183" s="1706"/>
      <c r="B183" s="1706"/>
      <c r="C183" s="306" t="s">
        <v>1163</v>
      </c>
      <c r="D183" s="2637"/>
      <c r="E183" s="2424"/>
      <c r="F183" s="2575"/>
      <c r="G183" s="337"/>
      <c r="H183" s="1427"/>
      <c r="I183" s="588"/>
      <c r="J183" s="508"/>
      <c r="K183" s="1427"/>
      <c r="L183" s="152"/>
      <c r="M183" s="279"/>
      <c r="N183" s="272"/>
      <c r="O183" s="1551"/>
      <c r="P183" s="1551"/>
      <c r="AH183" s="1558">
        <v>0</v>
      </c>
    </row>
    <row r="184" spans="1:34" s="1562" customFormat="1" ht="18.75" hidden="1" customHeight="1">
      <c r="A184" s="1706" t="s">
        <v>247</v>
      </c>
      <c r="B184" s="1706" t="s">
        <v>248</v>
      </c>
      <c r="C184" s="306"/>
      <c r="D184" s="2637"/>
      <c r="E184" s="2424"/>
      <c r="F184" s="2575" t="str">
        <f>INDEX(PT_DIFFERENTIATION_VTAR,MATCH(A184,PT_DIFFERENTIATION_VTAR_ID,0))</f>
        <v>Тариф на подвоз воды</v>
      </c>
      <c r="G184" s="2612" t="str">
        <f>INDEX(PT_DIFFERENTIATION_NTAR,MATCH(B184,PT_DIFFERENTIATION_NTAR_ID,0))</f>
        <v/>
      </c>
      <c r="H184" s="1787"/>
      <c r="I184" s="1665"/>
      <c r="J184" s="1699"/>
      <c r="K184" s="1704"/>
      <c r="L184" s="1787" t="s">
        <v>313</v>
      </c>
      <c r="M184" s="279"/>
      <c r="N184" s="272"/>
      <c r="O184" s="1551"/>
      <c r="P184" s="1551"/>
      <c r="AH184" s="1558">
        <v>0</v>
      </c>
    </row>
    <row r="185" spans="1:34" s="1562" customFormat="1" ht="18.75" hidden="1" customHeight="1">
      <c r="A185" s="1706"/>
      <c r="B185" s="1706"/>
      <c r="C185" s="306" t="s">
        <v>1154</v>
      </c>
      <c r="D185" s="2637"/>
      <c r="E185" s="2424"/>
      <c r="F185" s="2575"/>
      <c r="G185" s="2612"/>
      <c r="H185" s="1427"/>
      <c r="I185" s="588" t="s">
        <v>1153</v>
      </c>
      <c r="J185" s="508"/>
      <c r="K185" s="1427"/>
      <c r="L185" s="152"/>
      <c r="M185" s="279"/>
      <c r="N185" s="272"/>
      <c r="O185" s="1551"/>
      <c r="P185" s="1551"/>
      <c r="AH185" s="1558">
        <v>0</v>
      </c>
    </row>
    <row r="186" spans="1:34" s="1562" customFormat="1" ht="0.75" hidden="1" customHeight="1">
      <c r="A186" s="1706"/>
      <c r="B186" s="1706"/>
      <c r="C186" s="306" t="s">
        <v>1163</v>
      </c>
      <c r="D186" s="2637"/>
      <c r="E186" s="2424"/>
      <c r="F186" s="2575"/>
      <c r="G186" s="337"/>
      <c r="H186" s="1427"/>
      <c r="I186" s="588"/>
      <c r="J186" s="508"/>
      <c r="K186" s="1427"/>
      <c r="L186" s="152"/>
      <c r="M186" s="279"/>
      <c r="N186" s="272"/>
      <c r="O186" s="1551"/>
      <c r="P186" s="1551"/>
      <c r="AH186" s="1558">
        <v>0</v>
      </c>
    </row>
    <row r="187" spans="1:34" s="1562" customFormat="1" ht="18.75" hidden="1" customHeight="1">
      <c r="A187" s="1706" t="s">
        <v>252</v>
      </c>
      <c r="B187" s="1706" t="s">
        <v>253</v>
      </c>
      <c r="C187" s="306"/>
      <c r="D187" s="2637"/>
      <c r="E187" s="2424"/>
      <c r="F187" s="257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12" t="str">
        <f>INDEX(PT_DIFFERENTIATION_NTAR,MATCH(B187,PT_DIFFERENTIATION_NTAR_ID,0))</f>
        <v/>
      </c>
      <c r="H187" s="1787"/>
      <c r="I187" s="1665"/>
      <c r="J187" s="1699"/>
      <c r="K187" s="1704"/>
      <c r="L187" s="1787" t="s">
        <v>313</v>
      </c>
      <c r="M187" s="279"/>
      <c r="N187" s="272"/>
      <c r="O187" s="1551"/>
      <c r="P187" s="1551"/>
      <c r="AH187" s="1558">
        <v>0</v>
      </c>
    </row>
    <row r="188" spans="1:34" s="1562" customFormat="1" ht="18.75" hidden="1" customHeight="1">
      <c r="A188" s="1706"/>
      <c r="B188" s="1706"/>
      <c r="C188" s="306" t="s">
        <v>1154</v>
      </c>
      <c r="D188" s="2637"/>
      <c r="E188" s="2424"/>
      <c r="F188" s="2575"/>
      <c r="G188" s="2612"/>
      <c r="H188" s="1427"/>
      <c r="I188" s="588" t="s">
        <v>1153</v>
      </c>
      <c r="J188" s="508"/>
      <c r="K188" s="1427"/>
      <c r="L188" s="152"/>
      <c r="M188" s="279"/>
      <c r="N188" s="272"/>
      <c r="O188" s="1551"/>
      <c r="P188" s="1551"/>
      <c r="AH188" s="1558">
        <v>0</v>
      </c>
    </row>
    <row r="189" spans="1:34" s="1562" customFormat="1" ht="0.75" hidden="1" customHeight="1">
      <c r="A189" s="1706"/>
      <c r="B189" s="1706"/>
      <c r="C189" s="306" t="s">
        <v>1163</v>
      </c>
      <c r="D189" s="2637"/>
      <c r="E189" s="2424"/>
      <c r="F189" s="2575"/>
      <c r="G189" s="337"/>
      <c r="H189" s="1427"/>
      <c r="I189" s="588"/>
      <c r="J189" s="508"/>
      <c r="K189" s="1427"/>
      <c r="L189" s="152"/>
      <c r="M189" s="279"/>
      <c r="N189" s="272"/>
      <c r="O189" s="1551"/>
      <c r="P189" s="1551"/>
      <c r="AH189" s="1558">
        <v>0</v>
      </c>
    </row>
    <row r="190" spans="1:34" s="1562" customFormat="1" ht="18.75" hidden="1" customHeight="1">
      <c r="A190" s="1706" t="s">
        <v>257</v>
      </c>
      <c r="B190" s="1706" t="s">
        <v>258</v>
      </c>
      <c r="C190" s="306"/>
      <c r="D190" s="2637"/>
      <c r="E190" s="2424"/>
      <c r="F190" s="2575" t="str">
        <f>INDEX(PT_DIFFERENTIATION_VTAR,MATCH(A190,PT_DIFFERENTIATION_VTAR_ID,0))</f>
        <v>Тариф на горячую воду (горячее водоснабжение)</v>
      </c>
      <c r="G190" s="2612" t="str">
        <f>INDEX(PT_DIFFERENTIATION_NTAR,MATCH(B190,PT_DIFFERENTIATION_NTAR_ID,0))</f>
        <v/>
      </c>
      <c r="H190" s="1787"/>
      <c r="I190" s="1665"/>
      <c r="J190" s="1699"/>
      <c r="K190" s="1704"/>
      <c r="L190" s="1787" t="s">
        <v>313</v>
      </c>
      <c r="M190" s="279"/>
      <c r="N190" s="272"/>
      <c r="O190" s="1551"/>
      <c r="P190" s="1551"/>
      <c r="AH190" s="1558">
        <v>0</v>
      </c>
    </row>
    <row r="191" spans="1:34" s="1562" customFormat="1" ht="18.75" hidden="1" customHeight="1">
      <c r="A191" s="1706"/>
      <c r="B191" s="1706"/>
      <c r="C191" s="306" t="s">
        <v>1154</v>
      </c>
      <c r="D191" s="2637"/>
      <c r="E191" s="2424"/>
      <c r="F191" s="2575"/>
      <c r="G191" s="2612"/>
      <c r="H191" s="1427"/>
      <c r="I191" s="588" t="s">
        <v>1153</v>
      </c>
      <c r="J191" s="508"/>
      <c r="K191" s="1427"/>
      <c r="L191" s="152"/>
      <c r="M191" s="279"/>
      <c r="N191" s="272"/>
      <c r="O191" s="1551"/>
      <c r="P191" s="1551"/>
      <c r="AH191" s="1558">
        <v>0</v>
      </c>
    </row>
    <row r="192" spans="1:34" s="1562" customFormat="1" ht="0.75" hidden="1" customHeight="1">
      <c r="A192" s="1706"/>
      <c r="B192" s="1706"/>
      <c r="C192" s="306" t="s">
        <v>1163</v>
      </c>
      <c r="D192" s="2637"/>
      <c r="E192" s="2424"/>
      <c r="F192" s="2575"/>
      <c r="G192" s="337"/>
      <c r="H192" s="1427"/>
      <c r="I192" s="588"/>
      <c r="J192" s="508"/>
      <c r="K192" s="1427"/>
      <c r="L192" s="152"/>
      <c r="M192" s="279"/>
      <c r="N192" s="272"/>
      <c r="O192" s="1551"/>
      <c r="P192" s="1551"/>
      <c r="AH192" s="1558">
        <v>0</v>
      </c>
    </row>
    <row r="193" spans="1:34" s="1562" customFormat="1" ht="18.75" hidden="1" customHeight="1">
      <c r="A193" s="1706" t="s">
        <v>262</v>
      </c>
      <c r="B193" s="1706" t="s">
        <v>263</v>
      </c>
      <c r="C193" s="306"/>
      <c r="D193" s="2637"/>
      <c r="E193" s="2424"/>
      <c r="F193" s="2575" t="str">
        <f>INDEX(PT_DIFFERENTIATION_VTAR,MATCH(A193,PT_DIFFERENTIATION_VTAR_ID,0))</f>
        <v>Тариф на транспортировку горячей воды</v>
      </c>
      <c r="G193" s="2612" t="str">
        <f>INDEX(PT_DIFFERENTIATION_NTAR,MATCH(B193,PT_DIFFERENTIATION_NTAR_ID,0))</f>
        <v/>
      </c>
      <c r="H193" s="1787"/>
      <c r="I193" s="1665"/>
      <c r="J193" s="1699"/>
      <c r="K193" s="1704"/>
      <c r="L193" s="1787" t="s">
        <v>313</v>
      </c>
      <c r="M193" s="279"/>
      <c r="N193" s="272"/>
      <c r="O193" s="1551"/>
      <c r="P193" s="1551"/>
      <c r="AH193" s="1558">
        <v>0</v>
      </c>
    </row>
    <row r="194" spans="1:34" s="1562" customFormat="1" ht="18.75" hidden="1" customHeight="1">
      <c r="A194" s="1706"/>
      <c r="B194" s="1706"/>
      <c r="C194" s="306" t="s">
        <v>1154</v>
      </c>
      <c r="D194" s="2637"/>
      <c r="E194" s="2424"/>
      <c r="F194" s="2575"/>
      <c r="G194" s="2612"/>
      <c r="H194" s="1427"/>
      <c r="I194" s="588" t="s">
        <v>1153</v>
      </c>
      <c r="J194" s="508"/>
      <c r="K194" s="1427"/>
      <c r="L194" s="152"/>
      <c r="M194" s="279"/>
      <c r="N194" s="272"/>
      <c r="O194" s="1551"/>
      <c r="P194" s="1551"/>
      <c r="AH194" s="1558">
        <v>0</v>
      </c>
    </row>
    <row r="195" spans="1:34" s="1562" customFormat="1" ht="0.75" hidden="1" customHeight="1">
      <c r="A195" s="1706"/>
      <c r="B195" s="1706"/>
      <c r="C195" s="306" t="s">
        <v>1163</v>
      </c>
      <c r="D195" s="2637"/>
      <c r="E195" s="2424"/>
      <c r="F195" s="2575"/>
      <c r="G195" s="337"/>
      <c r="H195" s="1427"/>
      <c r="I195" s="588"/>
      <c r="J195" s="508"/>
      <c r="K195" s="1427"/>
      <c r="L195" s="152"/>
      <c r="M195" s="279"/>
      <c r="N195" s="272"/>
      <c r="O195" s="1551"/>
      <c r="P195" s="1551"/>
      <c r="AH195" s="1558">
        <v>0</v>
      </c>
    </row>
    <row r="196" spans="1:34" s="1562" customFormat="1" ht="18.75" hidden="1" customHeight="1">
      <c r="A196" s="1706" t="s">
        <v>267</v>
      </c>
      <c r="B196" s="1706" t="s">
        <v>268</v>
      </c>
      <c r="C196" s="306"/>
      <c r="D196" s="2637"/>
      <c r="E196" s="2424"/>
      <c r="F196" s="257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12" t="str">
        <f>INDEX(PT_DIFFERENTIATION_NTAR,MATCH(B196,PT_DIFFERENTIATION_NTAR_ID,0))</f>
        <v/>
      </c>
      <c r="H196" s="1787"/>
      <c r="I196" s="1665"/>
      <c r="J196" s="1699"/>
      <c r="K196" s="1704"/>
      <c r="L196" s="1787" t="s">
        <v>313</v>
      </c>
      <c r="M196" s="279"/>
      <c r="N196" s="272"/>
      <c r="O196" s="1551"/>
      <c r="P196" s="1551"/>
      <c r="AH196" s="1558">
        <v>0</v>
      </c>
    </row>
    <row r="197" spans="1:34" s="1562" customFormat="1" ht="18.75" hidden="1" customHeight="1">
      <c r="A197" s="1706"/>
      <c r="B197" s="1706"/>
      <c r="C197" s="306" t="s">
        <v>1154</v>
      </c>
      <c r="D197" s="2637"/>
      <c r="E197" s="2424"/>
      <c r="F197" s="2575"/>
      <c r="G197" s="2612"/>
      <c r="H197" s="1427"/>
      <c r="I197" s="588" t="s">
        <v>1153</v>
      </c>
      <c r="J197" s="508"/>
      <c r="K197" s="1427"/>
      <c r="L197" s="152"/>
      <c r="M197" s="279"/>
      <c r="N197" s="272"/>
      <c r="O197" s="1551"/>
      <c r="P197" s="1551"/>
      <c r="AH197" s="1558">
        <v>0</v>
      </c>
    </row>
    <row r="198" spans="1:34" s="1562" customFormat="1" ht="0.75" hidden="1" customHeight="1">
      <c r="A198" s="1706"/>
      <c r="B198" s="1706"/>
      <c r="C198" s="306" t="s">
        <v>1163</v>
      </c>
      <c r="D198" s="2637"/>
      <c r="E198" s="2424"/>
      <c r="F198" s="2575"/>
      <c r="G198" s="337"/>
      <c r="H198" s="1427"/>
      <c r="I198" s="588"/>
      <c r="J198" s="508"/>
      <c r="K198" s="1427"/>
      <c r="L198" s="152"/>
      <c r="M198" s="279"/>
      <c r="N198" s="272"/>
      <c r="O198" s="1551"/>
      <c r="P198" s="1551"/>
      <c r="AH198" s="1558">
        <v>0</v>
      </c>
    </row>
    <row r="199" spans="1:34" s="1562" customFormat="1" ht="18.75" hidden="1" customHeight="1">
      <c r="A199" s="1706" t="s">
        <v>272</v>
      </c>
      <c r="B199" s="1706" t="s">
        <v>273</v>
      </c>
      <c r="C199" s="306"/>
      <c r="D199" s="2637"/>
      <c r="E199" s="2424"/>
      <c r="F199" s="2575" t="str">
        <f>INDEX(PT_DIFFERENTIATION_VTAR,MATCH(A199,PT_DIFFERENTIATION_VTAR_ID,0))</f>
        <v>Тариф на водоотведение</v>
      </c>
      <c r="G199" s="2612" t="str">
        <f>INDEX(PT_DIFFERENTIATION_NTAR,MATCH(B199,PT_DIFFERENTIATION_NTAR_ID,0))</f>
        <v/>
      </c>
      <c r="H199" s="1787"/>
      <c r="I199" s="1665"/>
      <c r="J199" s="1699"/>
      <c r="K199" s="1704"/>
      <c r="L199" s="1787" t="s">
        <v>313</v>
      </c>
      <c r="M199" s="279"/>
      <c r="N199" s="272"/>
      <c r="O199" s="1551"/>
      <c r="P199" s="1551"/>
      <c r="AH199" s="1558">
        <v>0</v>
      </c>
    </row>
    <row r="200" spans="1:34" s="1562" customFormat="1" ht="18.75" hidden="1" customHeight="1">
      <c r="A200" s="1706"/>
      <c r="B200" s="1706"/>
      <c r="C200" s="306" t="s">
        <v>1154</v>
      </c>
      <c r="D200" s="2637"/>
      <c r="E200" s="2424"/>
      <c r="F200" s="2575"/>
      <c r="G200" s="2612"/>
      <c r="H200" s="1427"/>
      <c r="I200" s="588" t="s">
        <v>1153</v>
      </c>
      <c r="J200" s="508"/>
      <c r="K200" s="1427"/>
      <c r="L200" s="152"/>
      <c r="M200" s="279"/>
      <c r="N200" s="272"/>
      <c r="O200" s="1551"/>
      <c r="P200" s="1551"/>
      <c r="AH200" s="1558">
        <v>0</v>
      </c>
    </row>
    <row r="201" spans="1:34" s="1562" customFormat="1" ht="0.75" hidden="1" customHeight="1">
      <c r="A201" s="1706"/>
      <c r="B201" s="1706"/>
      <c r="C201" s="306" t="s">
        <v>1163</v>
      </c>
      <c r="D201" s="2637"/>
      <c r="E201" s="2424"/>
      <c r="F201" s="2575"/>
      <c r="G201" s="337"/>
      <c r="H201" s="1427"/>
      <c r="I201" s="588"/>
      <c r="J201" s="508"/>
      <c r="K201" s="1427"/>
      <c r="L201" s="152"/>
      <c r="M201" s="279"/>
      <c r="N201" s="272"/>
      <c r="O201" s="1551"/>
      <c r="P201" s="1551"/>
      <c r="AH201" s="1558">
        <v>0</v>
      </c>
    </row>
    <row r="202" spans="1:34" s="1562" customFormat="1" ht="18.75" hidden="1" customHeight="1">
      <c r="A202" s="1706" t="s">
        <v>277</v>
      </c>
      <c r="B202" s="1706" t="s">
        <v>278</v>
      </c>
      <c r="C202" s="306"/>
      <c r="D202" s="2637"/>
      <c r="E202" s="2424"/>
      <c r="F202" s="2575" t="str">
        <f>INDEX(PT_DIFFERENTIATION_VTAR,MATCH(A202,PT_DIFFERENTIATION_VTAR_ID,0))</f>
        <v>Тариф на транспортировку сточных вод</v>
      </c>
      <c r="G202" s="2612" t="str">
        <f>INDEX(PT_DIFFERENTIATION_NTAR,MATCH(B202,PT_DIFFERENTIATION_NTAR_ID,0))</f>
        <v/>
      </c>
      <c r="H202" s="1787"/>
      <c r="I202" s="1665"/>
      <c r="J202" s="1699"/>
      <c r="K202" s="1704"/>
      <c r="L202" s="1787" t="s">
        <v>313</v>
      </c>
      <c r="M202" s="279"/>
      <c r="N202" s="272"/>
      <c r="O202" s="1551"/>
      <c r="P202" s="1551"/>
      <c r="AH202" s="1558">
        <v>0</v>
      </c>
    </row>
    <row r="203" spans="1:34" s="1562" customFormat="1" ht="18.75" hidden="1" customHeight="1">
      <c r="A203" s="1706"/>
      <c r="B203" s="1706"/>
      <c r="C203" s="306" t="s">
        <v>1154</v>
      </c>
      <c r="D203" s="2637"/>
      <c r="E203" s="2424"/>
      <c r="F203" s="2575"/>
      <c r="G203" s="2612"/>
      <c r="H203" s="1427"/>
      <c r="I203" s="588" t="s">
        <v>1153</v>
      </c>
      <c r="J203" s="508"/>
      <c r="K203" s="1427"/>
      <c r="L203" s="152"/>
      <c r="M203" s="279"/>
      <c r="N203" s="272"/>
      <c r="O203" s="1551"/>
      <c r="P203" s="1551"/>
      <c r="AH203" s="1558">
        <v>0</v>
      </c>
    </row>
    <row r="204" spans="1:34" s="1562" customFormat="1" ht="0.75" hidden="1" customHeight="1">
      <c r="A204" s="1706"/>
      <c r="B204" s="1706"/>
      <c r="C204" s="306" t="s">
        <v>1163</v>
      </c>
      <c r="D204" s="2637"/>
      <c r="E204" s="2424"/>
      <c r="F204" s="2575"/>
      <c r="G204" s="337"/>
      <c r="H204" s="1427"/>
      <c r="I204" s="588"/>
      <c r="J204" s="508"/>
      <c r="K204" s="1427"/>
      <c r="L204" s="152"/>
      <c r="M204" s="279"/>
      <c r="N204" s="272"/>
      <c r="O204" s="1551"/>
      <c r="P204" s="1551"/>
      <c r="AH204" s="1558">
        <v>0</v>
      </c>
    </row>
    <row r="205" spans="1:34" s="1562" customFormat="1" ht="18.75" hidden="1" customHeight="1">
      <c r="A205" s="1706" t="s">
        <v>282</v>
      </c>
      <c r="B205" s="1706" t="s">
        <v>283</v>
      </c>
      <c r="C205" s="306"/>
      <c r="D205" s="2637"/>
      <c r="E205" s="2424"/>
      <c r="F205" s="2575" t="str">
        <f>INDEX(PT_DIFFERENTIATION_VTAR,MATCH(A205,PT_DIFFERENTIATION_VTAR_ID,0))</f>
        <v>Тариф на подключение (технологическое присоединение) к централизованной системе водоотведения</v>
      </c>
      <c r="G205" s="2612" t="str">
        <f>INDEX(PT_DIFFERENTIATION_NTAR,MATCH(B205,PT_DIFFERENTIATION_NTAR_ID,0))</f>
        <v/>
      </c>
      <c r="H205" s="1787"/>
      <c r="I205" s="1665"/>
      <c r="J205" s="1699"/>
      <c r="K205" s="1704"/>
      <c r="L205" s="1787" t="s">
        <v>313</v>
      </c>
      <c r="M205" s="279"/>
      <c r="N205" s="272"/>
      <c r="O205" s="1551"/>
      <c r="P205" s="1551"/>
      <c r="AH205" s="1558">
        <v>0</v>
      </c>
    </row>
    <row r="206" spans="1:34" s="1562" customFormat="1" ht="18.75" hidden="1" customHeight="1">
      <c r="A206" s="1706"/>
      <c r="B206" s="1706"/>
      <c r="C206" s="306" t="s">
        <v>1154</v>
      </c>
      <c r="D206" s="2637"/>
      <c r="E206" s="2424"/>
      <c r="F206" s="2575"/>
      <c r="G206" s="2612"/>
      <c r="H206" s="1427"/>
      <c r="I206" s="588" t="s">
        <v>1153</v>
      </c>
      <c r="J206" s="508"/>
      <c r="K206" s="1427"/>
      <c r="L206" s="152"/>
      <c r="M206" s="279"/>
      <c r="N206" s="272"/>
      <c r="O206" s="1551"/>
      <c r="P206" s="1551"/>
      <c r="AH206" s="1558">
        <v>0</v>
      </c>
    </row>
    <row r="207" spans="1:34" s="1562" customFormat="1" ht="1.1499999999999999" customHeight="1">
      <c r="A207" s="1706"/>
      <c r="B207" s="1706"/>
      <c r="C207" s="306" t="s">
        <v>1163</v>
      </c>
      <c r="D207" s="2637"/>
      <c r="E207" s="2424"/>
      <c r="F207" s="2575"/>
      <c r="G207" s="337"/>
      <c r="H207" s="1427"/>
      <c r="I207" s="588"/>
      <c r="J207" s="508"/>
      <c r="K207" s="1427"/>
      <c r="L207" s="152"/>
      <c r="M207" s="279"/>
      <c r="N207" s="272"/>
      <c r="O207" s="1551"/>
      <c r="P207" s="1551"/>
      <c r="AH207" s="1558">
        <v>1</v>
      </c>
    </row>
    <row r="208" spans="1:34" ht="27.4" customHeight="1">
      <c r="A208" s="1706"/>
      <c r="B208" s="1706"/>
      <c r="D208" s="313"/>
      <c r="E208" s="85" t="s">
        <v>112</v>
      </c>
      <c r="F208" s="263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6"/>
      <c r="H208" s="2636"/>
      <c r="I208" s="2636"/>
      <c r="J208" s="2636"/>
      <c r="K208" s="2636"/>
      <c r="L208" s="2636"/>
      <c r="M208" s="235"/>
      <c r="N208" s="272"/>
      <c r="AH208" s="311">
        <v>26</v>
      </c>
    </row>
    <row r="209" spans="1:34" s="1562" customFormat="1" ht="60.75" hidden="1" customHeight="1">
      <c r="A209" s="1706" t="s">
        <v>156</v>
      </c>
      <c r="B209" s="1706" t="s">
        <v>157</v>
      </c>
      <c r="C209" s="306"/>
      <c r="D209" s="2637"/>
      <c r="E209" s="2424"/>
      <c r="F209" s="257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12" t="str">
        <f>INDEX(PT_DIFFERENTIATION_NTAR,MATCH(B209,PT_DIFFERENTIATION_NTAR_ID,0))</f>
        <v/>
      </c>
      <c r="H209" s="1787"/>
      <c r="I209" s="1665"/>
      <c r="J209" s="1699"/>
      <c r="K209" s="1704"/>
      <c r="L209" s="1787" t="s">
        <v>313</v>
      </c>
      <c r="M209" s="23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51"/>
      <c r="P209" s="1551"/>
      <c r="AH209" s="1558">
        <v>0</v>
      </c>
    </row>
    <row r="210" spans="1:34" s="1562" customFormat="1" ht="18.75" hidden="1" customHeight="1">
      <c r="A210" s="1706"/>
      <c r="B210" s="1706"/>
      <c r="C210" s="306" t="s">
        <v>1154</v>
      </c>
      <c r="D210" s="2637"/>
      <c r="E210" s="2424"/>
      <c r="F210" s="2575"/>
      <c r="G210" s="2612"/>
      <c r="H210" s="1427"/>
      <c r="I210" s="588" t="s">
        <v>1153</v>
      </c>
      <c r="J210" s="508"/>
      <c r="K210" s="1427"/>
      <c r="L210" s="152"/>
      <c r="M210" s="2379"/>
      <c r="N210" s="272"/>
      <c r="O210" s="1551"/>
      <c r="P210" s="1551"/>
      <c r="AH210" s="1558">
        <v>0</v>
      </c>
    </row>
    <row r="211" spans="1:34" s="1562" customFormat="1" ht="0.75" hidden="1" customHeight="1">
      <c r="A211" s="1706"/>
      <c r="B211" s="1706"/>
      <c r="C211" s="306" t="s">
        <v>1163</v>
      </c>
      <c r="D211" s="2637"/>
      <c r="E211" s="2424"/>
      <c r="F211" s="2575"/>
      <c r="G211" s="337"/>
      <c r="H211" s="1427"/>
      <c r="I211" s="588"/>
      <c r="J211" s="508"/>
      <c r="K211" s="1427"/>
      <c r="L211" s="152"/>
      <c r="M211" s="2379"/>
      <c r="N211" s="272"/>
      <c r="O211" s="1551"/>
      <c r="P211" s="1551"/>
      <c r="AH211" s="1558">
        <v>0</v>
      </c>
    </row>
    <row r="212" spans="1:34" s="1562" customFormat="1" ht="45" customHeight="1">
      <c r="A212" s="1706" t="s">
        <v>164</v>
      </c>
      <c r="B212" s="1706" t="s">
        <v>165</v>
      </c>
      <c r="C212" s="306"/>
      <c r="D212" s="2637"/>
      <c r="E212" s="2424"/>
      <c r="F212" s="2575"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612" t="str">
        <f>INDEX(PT_DIFFERENTIATION_NTAR,MATCH(B212,PT_DIFFERENTIATION_NTAR_ID,0))</f>
        <v>Тариф на тепловую энергию (мощность), поставляемую потребителям</v>
      </c>
      <c r="H212" s="1787"/>
      <c r="I212" s="1665">
        <v>46023</v>
      </c>
      <c r="J212" s="1699">
        <v>46387</v>
      </c>
      <c r="K212" s="1704">
        <v>0</v>
      </c>
      <c r="L212" s="1787" t="s">
        <v>313</v>
      </c>
      <c r="M212" s="2380"/>
      <c r="N212" s="272"/>
      <c r="O212" s="1551"/>
      <c r="P212" s="1551"/>
      <c r="AH212" s="1558">
        <v>0</v>
      </c>
    </row>
    <row r="213" spans="1:34" s="1562" customFormat="1" ht="18.75" customHeight="1">
      <c r="A213" s="1706"/>
      <c r="B213" s="1706"/>
      <c r="C213" s="306" t="s">
        <v>1154</v>
      </c>
      <c r="D213" s="2637"/>
      <c r="E213" s="2424"/>
      <c r="F213" s="2575"/>
      <c r="G213" s="2612"/>
      <c r="H213" s="1427"/>
      <c r="I213" s="588" t="s">
        <v>1153</v>
      </c>
      <c r="J213" s="508"/>
      <c r="K213" s="1427"/>
      <c r="L213" s="152"/>
      <c r="M213" s="1786"/>
      <c r="N213" s="272"/>
      <c r="O213" s="1551"/>
      <c r="P213" s="1551"/>
      <c r="AH213" s="1558">
        <v>0</v>
      </c>
    </row>
    <row r="214" spans="1:34" s="1562" customFormat="1" ht="0.75" customHeight="1">
      <c r="A214" s="1706"/>
      <c r="B214" s="1706"/>
      <c r="C214" s="306" t="s">
        <v>1163</v>
      </c>
      <c r="D214" s="2637"/>
      <c r="E214" s="2424"/>
      <c r="F214" s="2575"/>
      <c r="G214" s="337"/>
      <c r="H214" s="1427"/>
      <c r="I214" s="588"/>
      <c r="J214" s="508"/>
      <c r="K214" s="1427"/>
      <c r="L214" s="152"/>
      <c r="M214" s="279"/>
      <c r="N214" s="272"/>
      <c r="O214" s="1551"/>
      <c r="P214" s="1551"/>
      <c r="AH214" s="1558">
        <v>0</v>
      </c>
    </row>
    <row r="215" spans="1:34" s="1562" customFormat="1" ht="45" hidden="1" customHeight="1">
      <c r="A215" s="1706" t="s">
        <v>174</v>
      </c>
      <c r="B215" s="1706" t="s">
        <v>175</v>
      </c>
      <c r="C215" s="306"/>
      <c r="D215" s="2637"/>
      <c r="E215" s="2424"/>
      <c r="F215" s="257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12" t="str">
        <f>INDEX(PT_DIFFERENTIATION_NTAR,MATCH(B215,PT_DIFFERENTIATION_NTAR_ID,0))</f>
        <v/>
      </c>
      <c r="H215" s="1787"/>
      <c r="I215" s="1665"/>
      <c r="J215" s="1699"/>
      <c r="K215" s="1704"/>
      <c r="L215" s="1787" t="s">
        <v>313</v>
      </c>
      <c r="M215" s="279"/>
      <c r="N215" s="272"/>
      <c r="O215" s="1551"/>
      <c r="P215" s="1551"/>
      <c r="AH215" s="1558">
        <v>0</v>
      </c>
    </row>
    <row r="216" spans="1:34" s="1562" customFormat="1" ht="18.75" hidden="1" customHeight="1">
      <c r="A216" s="1706"/>
      <c r="B216" s="1706"/>
      <c r="C216" s="306" t="s">
        <v>1154</v>
      </c>
      <c r="D216" s="2637"/>
      <c r="E216" s="2424"/>
      <c r="F216" s="2575"/>
      <c r="G216" s="2612"/>
      <c r="H216" s="1427"/>
      <c r="I216" s="588" t="s">
        <v>1153</v>
      </c>
      <c r="J216" s="508"/>
      <c r="K216" s="1427"/>
      <c r="L216" s="152"/>
      <c r="M216" s="279"/>
      <c r="N216" s="272"/>
      <c r="O216" s="1551"/>
      <c r="P216" s="1551"/>
      <c r="AH216" s="1558">
        <v>0</v>
      </c>
    </row>
    <row r="217" spans="1:34" s="1562" customFormat="1" ht="0.75" hidden="1" customHeight="1">
      <c r="A217" s="1706"/>
      <c r="B217" s="1706"/>
      <c r="C217" s="306" t="s">
        <v>1163</v>
      </c>
      <c r="D217" s="2637"/>
      <c r="E217" s="2424"/>
      <c r="F217" s="2575"/>
      <c r="G217" s="337"/>
      <c r="H217" s="1427"/>
      <c r="I217" s="588"/>
      <c r="J217" s="508"/>
      <c r="K217" s="1427"/>
      <c r="L217" s="152"/>
      <c r="M217" s="279"/>
      <c r="N217" s="272"/>
      <c r="O217" s="1551"/>
      <c r="P217" s="1551"/>
      <c r="AH217" s="1558">
        <v>0</v>
      </c>
    </row>
    <row r="218" spans="1:34" s="1562" customFormat="1" ht="45" customHeight="1">
      <c r="A218" s="1706" t="s">
        <v>182</v>
      </c>
      <c r="B218" s="1706" t="s">
        <v>183</v>
      </c>
      <c r="C218" s="306"/>
      <c r="D218" s="2637"/>
      <c r="E218" s="2424"/>
      <c r="F218" s="257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12" t="str">
        <f>INDEX(PT_DIFFERENTIATION_NTAR,MATCH(B218,PT_DIFFERENTIATION_NTAR_ID,0))</f>
        <v>Тариф на горячую воду в открытой системе теплоснабжения (горячее водоснабжение)</v>
      </c>
      <c r="H218" s="1787"/>
      <c r="I218" s="1665">
        <v>46023</v>
      </c>
      <c r="J218" s="1699">
        <v>46387</v>
      </c>
      <c r="K218" s="1704">
        <v>0</v>
      </c>
      <c r="L218" s="1787" t="s">
        <v>313</v>
      </c>
      <c r="M218" s="279"/>
      <c r="N218" s="272"/>
      <c r="O218" s="1551"/>
      <c r="P218" s="1551"/>
      <c r="AH218" s="1558">
        <v>0</v>
      </c>
    </row>
    <row r="219" spans="1:34" s="1562" customFormat="1" ht="18.75" customHeight="1">
      <c r="A219" s="1706"/>
      <c r="B219" s="1706"/>
      <c r="C219" s="306" t="s">
        <v>1154</v>
      </c>
      <c r="D219" s="2637"/>
      <c r="E219" s="2424"/>
      <c r="F219" s="2575"/>
      <c r="G219" s="2612"/>
      <c r="H219" s="1427"/>
      <c r="I219" s="588" t="s">
        <v>1153</v>
      </c>
      <c r="J219" s="508"/>
      <c r="K219" s="1427"/>
      <c r="L219" s="152"/>
      <c r="M219" s="279"/>
      <c r="N219" s="272"/>
      <c r="O219" s="1551"/>
      <c r="P219" s="1551"/>
      <c r="AH219" s="1558">
        <v>0</v>
      </c>
    </row>
    <row r="220" spans="1:34" s="1562" customFormat="1" ht="0.75" customHeight="1">
      <c r="A220" s="1706"/>
      <c r="B220" s="1706"/>
      <c r="C220" s="306" t="s">
        <v>1163</v>
      </c>
      <c r="D220" s="2637"/>
      <c r="E220" s="2424"/>
      <c r="F220" s="2575"/>
      <c r="G220" s="337"/>
      <c r="H220" s="1427"/>
      <c r="I220" s="588"/>
      <c r="J220" s="508"/>
      <c r="K220" s="1427"/>
      <c r="L220" s="152"/>
      <c r="M220" s="279"/>
      <c r="N220" s="272"/>
      <c r="O220" s="1551"/>
      <c r="P220" s="1551"/>
      <c r="AH220" s="1558">
        <v>0</v>
      </c>
    </row>
    <row r="221" spans="1:34" s="1562" customFormat="1" ht="18.75" hidden="1" customHeight="1">
      <c r="A221" s="1706" t="s">
        <v>188</v>
      </c>
      <c r="B221" s="1706" t="s">
        <v>189</v>
      </c>
      <c r="C221" s="306"/>
      <c r="D221" s="2637"/>
      <c r="E221" s="2424"/>
      <c r="F221" s="2575" t="str">
        <f>INDEX(PT_DIFFERENTIATION_VTAR,MATCH(A221,PT_DIFFERENTIATION_VTAR_ID,0))</f>
        <v>Тарифы на услуги по передаче тепловой энергии</v>
      </c>
      <c r="G221" s="2612" t="str">
        <f>INDEX(PT_DIFFERENTIATION_NTAR,MATCH(B221,PT_DIFFERENTIATION_NTAR_ID,0))</f>
        <v/>
      </c>
      <c r="H221" s="1787"/>
      <c r="I221" s="1665"/>
      <c r="J221" s="1699"/>
      <c r="K221" s="1704"/>
      <c r="L221" s="1787" t="s">
        <v>313</v>
      </c>
      <c r="M221" s="279"/>
      <c r="N221" s="272"/>
      <c r="O221" s="1551"/>
      <c r="P221" s="1551"/>
      <c r="AH221" s="1558">
        <v>0</v>
      </c>
    </row>
    <row r="222" spans="1:34" s="1562" customFormat="1" ht="18.75" hidden="1" customHeight="1">
      <c r="A222" s="1706"/>
      <c r="B222" s="1706"/>
      <c r="C222" s="306" t="s">
        <v>1154</v>
      </c>
      <c r="D222" s="2637"/>
      <c r="E222" s="2424"/>
      <c r="F222" s="2575"/>
      <c r="G222" s="2612"/>
      <c r="H222" s="1427"/>
      <c r="I222" s="588" t="s">
        <v>1153</v>
      </c>
      <c r="J222" s="508"/>
      <c r="K222" s="1427"/>
      <c r="L222" s="152"/>
      <c r="M222" s="279"/>
      <c r="N222" s="272"/>
      <c r="O222" s="1551"/>
      <c r="P222" s="1551"/>
      <c r="AH222" s="1558">
        <v>0</v>
      </c>
    </row>
    <row r="223" spans="1:34" s="1562" customFormat="1" ht="0.75" hidden="1" customHeight="1">
      <c r="A223" s="1706"/>
      <c r="B223" s="1706"/>
      <c r="C223" s="306" t="s">
        <v>1163</v>
      </c>
      <c r="D223" s="2637"/>
      <c r="E223" s="2424"/>
      <c r="F223" s="2575"/>
      <c r="G223" s="337"/>
      <c r="H223" s="1427"/>
      <c r="I223" s="588"/>
      <c r="J223" s="508"/>
      <c r="K223" s="1427"/>
      <c r="L223" s="152"/>
      <c r="M223" s="279"/>
      <c r="N223" s="272"/>
      <c r="O223" s="1551"/>
      <c r="P223" s="1551"/>
      <c r="AH223" s="1558">
        <v>0</v>
      </c>
    </row>
    <row r="224" spans="1:34" s="1562" customFormat="1" ht="18.75" hidden="1" customHeight="1">
      <c r="A224" s="1706" t="s">
        <v>194</v>
      </c>
      <c r="B224" s="1706" t="s">
        <v>195</v>
      </c>
      <c r="C224" s="306"/>
      <c r="D224" s="2637"/>
      <c r="E224" s="2424"/>
      <c r="F224" s="2575" t="str">
        <f>INDEX(PT_DIFFERENTIATION_VTAR,MATCH(A224,PT_DIFFERENTIATION_VTAR_ID,0))</f>
        <v>Тарифы на услуги по передаче теплоносителя</v>
      </c>
      <c r="G224" s="2612" t="str">
        <f>INDEX(PT_DIFFERENTIATION_NTAR,MATCH(B224,PT_DIFFERENTIATION_NTAR_ID,0))</f>
        <v/>
      </c>
      <c r="H224" s="1787"/>
      <c r="I224" s="1665"/>
      <c r="J224" s="1699"/>
      <c r="K224" s="1704"/>
      <c r="L224" s="1787" t="s">
        <v>313</v>
      </c>
      <c r="M224" s="279"/>
      <c r="N224" s="272"/>
      <c r="O224" s="1551"/>
      <c r="P224" s="1551"/>
      <c r="AH224" s="1558">
        <v>0</v>
      </c>
    </row>
    <row r="225" spans="1:34" s="1562" customFormat="1" ht="18.75" hidden="1" customHeight="1">
      <c r="A225" s="1706"/>
      <c r="B225" s="1706"/>
      <c r="C225" s="306" t="s">
        <v>1154</v>
      </c>
      <c r="D225" s="2637"/>
      <c r="E225" s="2424"/>
      <c r="F225" s="2575"/>
      <c r="G225" s="2612"/>
      <c r="H225" s="1427"/>
      <c r="I225" s="588" t="s">
        <v>1153</v>
      </c>
      <c r="J225" s="508"/>
      <c r="K225" s="1427"/>
      <c r="L225" s="152"/>
      <c r="M225" s="279"/>
      <c r="N225" s="272"/>
      <c r="O225" s="1551"/>
      <c r="P225" s="1551"/>
      <c r="AH225" s="1558">
        <v>0</v>
      </c>
    </row>
    <row r="226" spans="1:34" s="1562" customFormat="1" ht="0.75" hidden="1" customHeight="1">
      <c r="A226" s="1706"/>
      <c r="B226" s="1706"/>
      <c r="C226" s="306" t="s">
        <v>1163</v>
      </c>
      <c r="D226" s="2637"/>
      <c r="E226" s="2424"/>
      <c r="F226" s="2575"/>
      <c r="G226" s="337"/>
      <c r="H226" s="1427"/>
      <c r="I226" s="588"/>
      <c r="J226" s="508"/>
      <c r="K226" s="1427"/>
      <c r="L226" s="152"/>
      <c r="M226" s="279"/>
      <c r="N226" s="272"/>
      <c r="O226" s="1551"/>
      <c r="P226" s="1551"/>
      <c r="AH226" s="1558">
        <v>0</v>
      </c>
    </row>
    <row r="227" spans="1:34" s="1562" customFormat="1" ht="18.75" hidden="1" customHeight="1">
      <c r="A227" s="1706" t="s">
        <v>200</v>
      </c>
      <c r="B227" s="1706" t="s">
        <v>201</v>
      </c>
      <c r="C227" s="306"/>
      <c r="D227" s="2637"/>
      <c r="E227" s="2424"/>
      <c r="F227" s="257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12" t="str">
        <f>INDEX(PT_DIFFERENTIATION_NTAR,MATCH(B227,PT_DIFFERENTIATION_NTAR_ID,0))</f>
        <v/>
      </c>
      <c r="H227" s="1787"/>
      <c r="I227" s="1665"/>
      <c r="J227" s="1699"/>
      <c r="K227" s="1704"/>
      <c r="L227" s="1787" t="s">
        <v>313</v>
      </c>
      <c r="M227" s="279"/>
      <c r="N227" s="272"/>
      <c r="O227" s="1551"/>
      <c r="P227" s="1551"/>
      <c r="AH227" s="1558">
        <v>0</v>
      </c>
    </row>
    <row r="228" spans="1:34" s="1562" customFormat="1" ht="18.75" hidden="1" customHeight="1">
      <c r="A228" s="1706"/>
      <c r="B228" s="1706"/>
      <c r="C228" s="306" t="s">
        <v>1154</v>
      </c>
      <c r="D228" s="2637"/>
      <c r="E228" s="2424"/>
      <c r="F228" s="2575"/>
      <c r="G228" s="2612"/>
      <c r="H228" s="1427"/>
      <c r="I228" s="588" t="s">
        <v>1153</v>
      </c>
      <c r="J228" s="508"/>
      <c r="K228" s="1427"/>
      <c r="L228" s="152"/>
      <c r="M228" s="279"/>
      <c r="N228" s="272"/>
      <c r="O228" s="1551"/>
      <c r="P228" s="1551"/>
      <c r="AH228" s="1558">
        <v>0</v>
      </c>
    </row>
    <row r="229" spans="1:34" s="1562" customFormat="1" ht="0.75" hidden="1" customHeight="1">
      <c r="A229" s="1706"/>
      <c r="B229" s="1706"/>
      <c r="C229" s="306" t="s">
        <v>1163</v>
      </c>
      <c r="D229" s="2637"/>
      <c r="E229" s="2424"/>
      <c r="F229" s="2575"/>
      <c r="G229" s="337"/>
      <c r="H229" s="1427"/>
      <c r="I229" s="588"/>
      <c r="J229" s="508"/>
      <c r="K229" s="1427"/>
      <c r="L229" s="152"/>
      <c r="M229" s="279"/>
      <c r="N229" s="272"/>
      <c r="O229" s="1551"/>
      <c r="P229" s="1551"/>
      <c r="AH229" s="1558">
        <v>0</v>
      </c>
    </row>
    <row r="230" spans="1:34" s="1562" customFormat="1" ht="18.75" hidden="1" customHeight="1">
      <c r="A230" s="1706" t="s">
        <v>206</v>
      </c>
      <c r="B230" s="1706" t="s">
        <v>207</v>
      </c>
      <c r="C230" s="306"/>
      <c r="D230" s="2637"/>
      <c r="E230" s="2424"/>
      <c r="F230" s="2575" t="str">
        <f>INDEX(PT_DIFFERENTIATION_VTAR,MATCH(A230,PT_DIFFERENTIATION_VTAR_ID,0))</f>
        <v>Плата за подключение (технологическое присоединение) к системе теплоснабжения</v>
      </c>
      <c r="G230" s="2612" t="str">
        <f>INDEX(PT_DIFFERENTIATION_NTAR,MATCH(B230,PT_DIFFERENTIATION_NTAR_ID,0))</f>
        <v/>
      </c>
      <c r="H230" s="1787"/>
      <c r="I230" s="1665"/>
      <c r="J230" s="1699"/>
      <c r="K230" s="1704"/>
      <c r="L230" s="1787" t="s">
        <v>313</v>
      </c>
      <c r="M230" s="279"/>
      <c r="N230" s="272"/>
      <c r="O230" s="1551"/>
      <c r="P230" s="1551"/>
      <c r="AH230" s="1558">
        <v>0</v>
      </c>
    </row>
    <row r="231" spans="1:34" s="1562" customFormat="1" ht="18.75" hidden="1" customHeight="1">
      <c r="A231" s="1706"/>
      <c r="B231" s="1706"/>
      <c r="C231" s="306" t="s">
        <v>1154</v>
      </c>
      <c r="D231" s="2637"/>
      <c r="E231" s="2424"/>
      <c r="F231" s="2575"/>
      <c r="G231" s="2612"/>
      <c r="H231" s="1427"/>
      <c r="I231" s="588" t="s">
        <v>1153</v>
      </c>
      <c r="J231" s="508"/>
      <c r="K231" s="1427"/>
      <c r="L231" s="152"/>
      <c r="M231" s="279"/>
      <c r="N231" s="272"/>
      <c r="O231" s="1551"/>
      <c r="P231" s="1551"/>
      <c r="AH231" s="1558">
        <v>0</v>
      </c>
    </row>
    <row r="232" spans="1:34" s="1562" customFormat="1" ht="0.75" hidden="1" customHeight="1">
      <c r="A232" s="1706"/>
      <c r="B232" s="1706"/>
      <c r="C232" s="306" t="s">
        <v>1163</v>
      </c>
      <c r="D232" s="2637"/>
      <c r="E232" s="2424"/>
      <c r="F232" s="2575"/>
      <c r="G232" s="337"/>
      <c r="H232" s="1427"/>
      <c r="I232" s="588"/>
      <c r="J232" s="508"/>
      <c r="K232" s="1427"/>
      <c r="L232" s="152"/>
      <c r="M232" s="279"/>
      <c r="N232" s="272"/>
      <c r="O232" s="1551"/>
      <c r="P232" s="1551"/>
      <c r="AH232" s="1558">
        <v>0</v>
      </c>
    </row>
    <row r="233" spans="1:34" s="1562" customFormat="1" ht="18.75" hidden="1" customHeight="1">
      <c r="A233" s="1706" t="s">
        <v>212</v>
      </c>
      <c r="B233" s="1706" t="s">
        <v>213</v>
      </c>
      <c r="C233" s="306"/>
      <c r="D233" s="2637"/>
      <c r="E233" s="2424"/>
      <c r="F233" s="2575" t="str">
        <f>INDEX(PT_DIFFERENTIATION_VTAR,MATCH(A233,PT_DIFFERENTIATION_VTAR_ID,0))</f>
        <v>Плата за подключение (технологическое присоединение) к системе теплоснабжения (индивидуальная)</v>
      </c>
      <c r="G233" s="2612" t="str">
        <f>INDEX(PT_DIFFERENTIATION_NTAR,MATCH(B233,PT_DIFFERENTIATION_NTAR_ID,0))</f>
        <v/>
      </c>
      <c r="H233" s="1911"/>
      <c r="I233" s="1665"/>
      <c r="J233" s="1699"/>
      <c r="K233" s="1704"/>
      <c r="L233" s="1911" t="s">
        <v>313</v>
      </c>
      <c r="M233" s="279"/>
      <c r="N233" s="272"/>
      <c r="O233" s="1551"/>
      <c r="P233" s="1551"/>
      <c r="AH233" s="1558">
        <v>0</v>
      </c>
    </row>
    <row r="234" spans="1:34" s="1562" customFormat="1" ht="18.75" hidden="1" customHeight="1">
      <c r="A234" s="1706"/>
      <c r="B234" s="1706"/>
      <c r="C234" s="306" t="s">
        <v>1154</v>
      </c>
      <c r="D234" s="2637"/>
      <c r="E234" s="2424"/>
      <c r="F234" s="2575"/>
      <c r="G234" s="2612"/>
      <c r="H234" s="1427"/>
      <c r="I234" s="588" t="s">
        <v>1153</v>
      </c>
      <c r="J234" s="508"/>
      <c r="K234" s="1427"/>
      <c r="L234" s="152"/>
      <c r="M234" s="279"/>
      <c r="N234" s="272"/>
      <c r="O234" s="1551"/>
      <c r="P234" s="1551"/>
      <c r="AH234" s="1558">
        <v>0</v>
      </c>
    </row>
    <row r="235" spans="1:34" s="1562" customFormat="1" ht="0.75" hidden="1" customHeight="1">
      <c r="A235" s="1706"/>
      <c r="B235" s="1706"/>
      <c r="C235" s="306" t="s">
        <v>1163</v>
      </c>
      <c r="D235" s="2637"/>
      <c r="E235" s="2424"/>
      <c r="F235" s="2575"/>
      <c r="G235" s="337"/>
      <c r="H235" s="1427"/>
      <c r="I235" s="588"/>
      <c r="J235" s="508"/>
      <c r="K235" s="1427"/>
      <c r="L235" s="152"/>
      <c r="M235" s="279"/>
      <c r="N235" s="272"/>
      <c r="O235" s="1551"/>
      <c r="P235" s="1551"/>
      <c r="AH235" s="1558">
        <v>0</v>
      </c>
    </row>
    <row r="236" spans="1:34" s="1562" customFormat="1" ht="18.75" hidden="1" customHeight="1">
      <c r="A236" s="1706" t="s">
        <v>232</v>
      </c>
      <c r="B236" s="1706" t="s">
        <v>233</v>
      </c>
      <c r="C236" s="306"/>
      <c r="D236" s="2637"/>
      <c r="E236" s="2424"/>
      <c r="F236" s="2575" t="str">
        <f>INDEX(PT_DIFFERENTIATION_VTAR,MATCH(A236,PT_DIFFERENTIATION_VTAR_ID,0))</f>
        <v>Тариф на питьевую воду (питьевое водоснабжение)</v>
      </c>
      <c r="G236" s="2612" t="str">
        <f>INDEX(PT_DIFFERENTIATION_NTAR,MATCH(B236,PT_DIFFERENTIATION_NTAR_ID,0))</f>
        <v/>
      </c>
      <c r="H236" s="1787"/>
      <c r="I236" s="1665"/>
      <c r="J236" s="1699"/>
      <c r="K236" s="1704"/>
      <c r="L236" s="1787" t="s">
        <v>313</v>
      </c>
      <c r="M236" s="279"/>
      <c r="N236" s="272"/>
      <c r="O236" s="1551"/>
      <c r="P236" s="1551"/>
      <c r="AH236" s="1558">
        <v>0</v>
      </c>
    </row>
    <row r="237" spans="1:34" s="1562" customFormat="1" ht="18.75" hidden="1" customHeight="1">
      <c r="A237" s="1706"/>
      <c r="B237" s="1706"/>
      <c r="C237" s="306" t="s">
        <v>1154</v>
      </c>
      <c r="D237" s="2637"/>
      <c r="E237" s="2424"/>
      <c r="F237" s="2575"/>
      <c r="G237" s="2612"/>
      <c r="H237" s="1427"/>
      <c r="I237" s="588" t="s">
        <v>1153</v>
      </c>
      <c r="J237" s="508"/>
      <c r="K237" s="1427"/>
      <c r="L237" s="152"/>
      <c r="M237" s="279"/>
      <c r="N237" s="272"/>
      <c r="O237" s="1551"/>
      <c r="P237" s="1551"/>
      <c r="AH237" s="1558">
        <v>0</v>
      </c>
    </row>
    <row r="238" spans="1:34" s="1562" customFormat="1" ht="0.75" hidden="1" customHeight="1">
      <c r="A238" s="1706"/>
      <c r="B238" s="1706"/>
      <c r="C238" s="306" t="s">
        <v>1163</v>
      </c>
      <c r="D238" s="2637"/>
      <c r="E238" s="2424"/>
      <c r="F238" s="2575"/>
      <c r="G238" s="337"/>
      <c r="H238" s="1427"/>
      <c r="I238" s="588"/>
      <c r="J238" s="508"/>
      <c r="K238" s="1427"/>
      <c r="L238" s="152"/>
      <c r="M238" s="279"/>
      <c r="N238" s="272"/>
      <c r="O238" s="1551"/>
      <c r="P238" s="1551"/>
      <c r="AH238" s="1558">
        <v>0</v>
      </c>
    </row>
    <row r="239" spans="1:34" s="1562" customFormat="1" ht="18.75" hidden="1" customHeight="1">
      <c r="A239" s="1706" t="s">
        <v>237</v>
      </c>
      <c r="B239" s="1706" t="s">
        <v>238</v>
      </c>
      <c r="C239" s="306"/>
      <c r="D239" s="2637"/>
      <c r="E239" s="2424"/>
      <c r="F239" s="2575" t="str">
        <f>INDEX(PT_DIFFERENTIATION_VTAR,MATCH(A239,PT_DIFFERENTIATION_VTAR_ID,0))</f>
        <v>Тариф на техническую воду</v>
      </c>
      <c r="G239" s="2612" t="str">
        <f>INDEX(PT_DIFFERENTIATION_NTAR,MATCH(B239,PT_DIFFERENTIATION_NTAR_ID,0))</f>
        <v/>
      </c>
      <c r="H239" s="1787"/>
      <c r="I239" s="1665"/>
      <c r="J239" s="1699"/>
      <c r="K239" s="1704"/>
      <c r="L239" s="1787" t="s">
        <v>313</v>
      </c>
      <c r="M239" s="279"/>
      <c r="N239" s="272"/>
      <c r="O239" s="1551"/>
      <c r="P239" s="1551"/>
      <c r="AH239" s="1558">
        <v>0</v>
      </c>
    </row>
    <row r="240" spans="1:34" s="1562" customFormat="1" ht="18.75" hidden="1" customHeight="1">
      <c r="A240" s="1706"/>
      <c r="B240" s="1706"/>
      <c r="C240" s="306" t="s">
        <v>1154</v>
      </c>
      <c r="D240" s="2637"/>
      <c r="E240" s="2424"/>
      <c r="F240" s="2575"/>
      <c r="G240" s="2612"/>
      <c r="H240" s="1427"/>
      <c r="I240" s="588" t="s">
        <v>1153</v>
      </c>
      <c r="J240" s="508"/>
      <c r="K240" s="1427"/>
      <c r="L240" s="152"/>
      <c r="M240" s="279"/>
      <c r="N240" s="272"/>
      <c r="O240" s="1551"/>
      <c r="P240" s="1551"/>
      <c r="AH240" s="1558">
        <v>0</v>
      </c>
    </row>
    <row r="241" spans="1:34" s="1562" customFormat="1" ht="0.75" hidden="1" customHeight="1">
      <c r="A241" s="1706"/>
      <c r="B241" s="1706"/>
      <c r="C241" s="306" t="s">
        <v>1163</v>
      </c>
      <c r="D241" s="2637"/>
      <c r="E241" s="2424"/>
      <c r="F241" s="2575"/>
      <c r="G241" s="337"/>
      <c r="H241" s="1427"/>
      <c r="I241" s="588"/>
      <c r="J241" s="508"/>
      <c r="K241" s="1427"/>
      <c r="L241" s="152"/>
      <c r="M241" s="279"/>
      <c r="N241" s="272"/>
      <c r="O241" s="1551"/>
      <c r="P241" s="1551"/>
      <c r="AH241" s="1558">
        <v>0</v>
      </c>
    </row>
    <row r="242" spans="1:34" s="1562" customFormat="1" ht="18.75" hidden="1" customHeight="1">
      <c r="A242" s="1706" t="s">
        <v>242</v>
      </c>
      <c r="B242" s="1706" t="s">
        <v>243</v>
      </c>
      <c r="C242" s="306"/>
      <c r="D242" s="2637"/>
      <c r="E242" s="2424"/>
      <c r="F242" s="2575" t="str">
        <f>INDEX(PT_DIFFERENTIATION_VTAR,MATCH(A242,PT_DIFFERENTIATION_VTAR_ID,0))</f>
        <v>Тариф на транспортировку воды</v>
      </c>
      <c r="G242" s="2612" t="str">
        <f>INDEX(PT_DIFFERENTIATION_NTAR,MATCH(B242,PT_DIFFERENTIATION_NTAR_ID,0))</f>
        <v/>
      </c>
      <c r="H242" s="1787"/>
      <c r="I242" s="1665"/>
      <c r="J242" s="1699"/>
      <c r="K242" s="1704"/>
      <c r="L242" s="1787" t="s">
        <v>313</v>
      </c>
      <c r="M242" s="279"/>
      <c r="N242" s="272"/>
      <c r="O242" s="1551"/>
      <c r="P242" s="1551"/>
      <c r="AH242" s="1558">
        <v>0</v>
      </c>
    </row>
    <row r="243" spans="1:34" s="1562" customFormat="1" ht="18.75" hidden="1" customHeight="1">
      <c r="A243" s="1706"/>
      <c r="B243" s="1706"/>
      <c r="C243" s="306" t="s">
        <v>1154</v>
      </c>
      <c r="D243" s="2637"/>
      <c r="E243" s="2424"/>
      <c r="F243" s="2575"/>
      <c r="G243" s="2612"/>
      <c r="H243" s="1427"/>
      <c r="I243" s="588" t="s">
        <v>1153</v>
      </c>
      <c r="J243" s="508"/>
      <c r="K243" s="1427"/>
      <c r="L243" s="152"/>
      <c r="M243" s="279"/>
      <c r="N243" s="272"/>
      <c r="O243" s="1551"/>
      <c r="P243" s="1551"/>
      <c r="AH243" s="1558">
        <v>0</v>
      </c>
    </row>
    <row r="244" spans="1:34" s="1562" customFormat="1" ht="0.75" hidden="1" customHeight="1">
      <c r="A244" s="1706"/>
      <c r="B244" s="1706"/>
      <c r="C244" s="306" t="s">
        <v>1163</v>
      </c>
      <c r="D244" s="2637"/>
      <c r="E244" s="2424"/>
      <c r="F244" s="2575"/>
      <c r="G244" s="337"/>
      <c r="H244" s="1427"/>
      <c r="I244" s="588"/>
      <c r="J244" s="508"/>
      <c r="K244" s="1427"/>
      <c r="L244" s="152"/>
      <c r="M244" s="279"/>
      <c r="N244" s="272"/>
      <c r="O244" s="1551"/>
      <c r="P244" s="1551"/>
      <c r="AH244" s="1558">
        <v>0</v>
      </c>
    </row>
    <row r="245" spans="1:34" s="1562" customFormat="1" ht="18.75" hidden="1" customHeight="1">
      <c r="A245" s="1706" t="s">
        <v>247</v>
      </c>
      <c r="B245" s="1706" t="s">
        <v>248</v>
      </c>
      <c r="C245" s="306"/>
      <c r="D245" s="2637"/>
      <c r="E245" s="2424"/>
      <c r="F245" s="2575" t="str">
        <f>INDEX(PT_DIFFERENTIATION_VTAR,MATCH(A245,PT_DIFFERENTIATION_VTAR_ID,0))</f>
        <v>Тариф на подвоз воды</v>
      </c>
      <c r="G245" s="2612" t="str">
        <f>INDEX(PT_DIFFERENTIATION_NTAR,MATCH(B245,PT_DIFFERENTIATION_NTAR_ID,0))</f>
        <v/>
      </c>
      <c r="H245" s="1787"/>
      <c r="I245" s="1665"/>
      <c r="J245" s="1699"/>
      <c r="K245" s="1704"/>
      <c r="L245" s="1787" t="s">
        <v>313</v>
      </c>
      <c r="M245" s="279"/>
      <c r="N245" s="272"/>
      <c r="O245" s="1551"/>
      <c r="P245" s="1551"/>
      <c r="AH245" s="1558">
        <v>0</v>
      </c>
    </row>
    <row r="246" spans="1:34" s="1562" customFormat="1" ht="18.75" hidden="1" customHeight="1">
      <c r="A246" s="1706"/>
      <c r="B246" s="1706"/>
      <c r="C246" s="306" t="s">
        <v>1154</v>
      </c>
      <c r="D246" s="2637"/>
      <c r="E246" s="2424"/>
      <c r="F246" s="2575"/>
      <c r="G246" s="2612"/>
      <c r="H246" s="1427"/>
      <c r="I246" s="588" t="s">
        <v>1153</v>
      </c>
      <c r="J246" s="508"/>
      <c r="K246" s="1427"/>
      <c r="L246" s="152"/>
      <c r="M246" s="279"/>
      <c r="N246" s="272"/>
      <c r="O246" s="1551"/>
      <c r="P246" s="1551"/>
      <c r="AH246" s="1558">
        <v>0</v>
      </c>
    </row>
    <row r="247" spans="1:34" s="1562" customFormat="1" ht="0.75" hidden="1" customHeight="1">
      <c r="A247" s="1706"/>
      <c r="B247" s="1706"/>
      <c r="C247" s="306" t="s">
        <v>1163</v>
      </c>
      <c r="D247" s="2637"/>
      <c r="E247" s="2424"/>
      <c r="F247" s="2575"/>
      <c r="G247" s="337"/>
      <c r="H247" s="1427"/>
      <c r="I247" s="588"/>
      <c r="J247" s="508"/>
      <c r="K247" s="1427"/>
      <c r="L247" s="152"/>
      <c r="M247" s="279"/>
      <c r="N247" s="272"/>
      <c r="O247" s="1551"/>
      <c r="P247" s="1551"/>
      <c r="AH247" s="1558">
        <v>0</v>
      </c>
    </row>
    <row r="248" spans="1:34" s="1562" customFormat="1" ht="18.75" hidden="1" customHeight="1">
      <c r="A248" s="1706" t="s">
        <v>252</v>
      </c>
      <c r="B248" s="1706" t="s">
        <v>253</v>
      </c>
      <c r="C248" s="306"/>
      <c r="D248" s="2637"/>
      <c r="E248" s="2424"/>
      <c r="F248" s="257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12" t="str">
        <f>INDEX(PT_DIFFERENTIATION_NTAR,MATCH(B248,PT_DIFFERENTIATION_NTAR_ID,0))</f>
        <v/>
      </c>
      <c r="H248" s="1787"/>
      <c r="I248" s="1665"/>
      <c r="J248" s="1699"/>
      <c r="K248" s="1704"/>
      <c r="L248" s="1787" t="s">
        <v>313</v>
      </c>
      <c r="M248" s="279"/>
      <c r="N248" s="272"/>
      <c r="O248" s="1551"/>
      <c r="P248" s="1551"/>
      <c r="AH248" s="1558">
        <v>0</v>
      </c>
    </row>
    <row r="249" spans="1:34" s="1562" customFormat="1" ht="18.75" hidden="1" customHeight="1">
      <c r="A249" s="1706"/>
      <c r="B249" s="1706"/>
      <c r="C249" s="306" t="s">
        <v>1154</v>
      </c>
      <c r="D249" s="2637"/>
      <c r="E249" s="2424"/>
      <c r="F249" s="2575"/>
      <c r="G249" s="2612"/>
      <c r="H249" s="1427"/>
      <c r="I249" s="588" t="s">
        <v>1153</v>
      </c>
      <c r="J249" s="508"/>
      <c r="K249" s="1427"/>
      <c r="L249" s="152"/>
      <c r="M249" s="279"/>
      <c r="N249" s="272"/>
      <c r="O249" s="1551"/>
      <c r="P249" s="1551"/>
      <c r="AH249" s="1558">
        <v>0</v>
      </c>
    </row>
    <row r="250" spans="1:34" s="1562" customFormat="1" ht="0.75" hidden="1" customHeight="1">
      <c r="A250" s="1706"/>
      <c r="B250" s="1706"/>
      <c r="C250" s="306" t="s">
        <v>1163</v>
      </c>
      <c r="D250" s="2637"/>
      <c r="E250" s="2424"/>
      <c r="F250" s="2575"/>
      <c r="G250" s="337"/>
      <c r="H250" s="1427"/>
      <c r="I250" s="588"/>
      <c r="J250" s="508"/>
      <c r="K250" s="1427"/>
      <c r="L250" s="152"/>
      <c r="M250" s="279"/>
      <c r="N250" s="272"/>
      <c r="O250" s="1551"/>
      <c r="P250" s="1551"/>
      <c r="AH250" s="1558">
        <v>0</v>
      </c>
    </row>
    <row r="251" spans="1:34" s="1562" customFormat="1" ht="18.75" hidden="1" customHeight="1">
      <c r="A251" s="1706" t="s">
        <v>257</v>
      </c>
      <c r="B251" s="1706" t="s">
        <v>258</v>
      </c>
      <c r="C251" s="306"/>
      <c r="D251" s="2637"/>
      <c r="E251" s="2424"/>
      <c r="F251" s="2575" t="str">
        <f>INDEX(PT_DIFFERENTIATION_VTAR,MATCH(A251,PT_DIFFERENTIATION_VTAR_ID,0))</f>
        <v>Тариф на горячую воду (горячее водоснабжение)</v>
      </c>
      <c r="G251" s="2612" t="str">
        <f>INDEX(PT_DIFFERENTIATION_NTAR,MATCH(B251,PT_DIFFERENTIATION_NTAR_ID,0))</f>
        <v/>
      </c>
      <c r="H251" s="1787"/>
      <c r="I251" s="1665"/>
      <c r="J251" s="1699"/>
      <c r="K251" s="1704"/>
      <c r="L251" s="1787" t="s">
        <v>313</v>
      </c>
      <c r="M251" s="279"/>
      <c r="N251" s="272"/>
      <c r="O251" s="1551"/>
      <c r="P251" s="1551"/>
      <c r="AH251" s="1558">
        <v>0</v>
      </c>
    </row>
    <row r="252" spans="1:34" s="1562" customFormat="1" ht="18.75" hidden="1" customHeight="1">
      <c r="A252" s="1706"/>
      <c r="B252" s="1706"/>
      <c r="C252" s="306" t="s">
        <v>1154</v>
      </c>
      <c r="D252" s="2637"/>
      <c r="E252" s="2424"/>
      <c r="F252" s="2575"/>
      <c r="G252" s="2612"/>
      <c r="H252" s="1427"/>
      <c r="I252" s="588" t="s">
        <v>1153</v>
      </c>
      <c r="J252" s="508"/>
      <c r="K252" s="1427"/>
      <c r="L252" s="152"/>
      <c r="M252" s="279"/>
      <c r="N252" s="272"/>
      <c r="O252" s="1551"/>
      <c r="P252" s="1551"/>
      <c r="AH252" s="1558">
        <v>0</v>
      </c>
    </row>
    <row r="253" spans="1:34" s="1562" customFormat="1" ht="0.75" hidden="1" customHeight="1">
      <c r="A253" s="1706"/>
      <c r="B253" s="1706"/>
      <c r="C253" s="306" t="s">
        <v>1163</v>
      </c>
      <c r="D253" s="2637"/>
      <c r="E253" s="2424"/>
      <c r="F253" s="2575"/>
      <c r="G253" s="337"/>
      <c r="H253" s="1427"/>
      <c r="I253" s="588"/>
      <c r="J253" s="508"/>
      <c r="K253" s="1427"/>
      <c r="L253" s="152"/>
      <c r="M253" s="279"/>
      <c r="N253" s="272"/>
      <c r="O253" s="1551"/>
      <c r="P253" s="1551"/>
      <c r="AH253" s="1558">
        <v>0</v>
      </c>
    </row>
    <row r="254" spans="1:34" s="1562" customFormat="1" ht="18.75" hidden="1" customHeight="1">
      <c r="A254" s="1706" t="s">
        <v>262</v>
      </c>
      <c r="B254" s="1706" t="s">
        <v>263</v>
      </c>
      <c r="C254" s="306"/>
      <c r="D254" s="2637"/>
      <c r="E254" s="2424"/>
      <c r="F254" s="2575" t="str">
        <f>INDEX(PT_DIFFERENTIATION_VTAR,MATCH(A254,PT_DIFFERENTIATION_VTAR_ID,0))</f>
        <v>Тариф на транспортировку горячей воды</v>
      </c>
      <c r="G254" s="2612" t="str">
        <f>INDEX(PT_DIFFERENTIATION_NTAR,MATCH(B254,PT_DIFFERENTIATION_NTAR_ID,0))</f>
        <v/>
      </c>
      <c r="H254" s="1787"/>
      <c r="I254" s="1665"/>
      <c r="J254" s="1699"/>
      <c r="K254" s="1704"/>
      <c r="L254" s="1787" t="s">
        <v>313</v>
      </c>
      <c r="M254" s="279"/>
      <c r="N254" s="272"/>
      <c r="O254" s="1551"/>
      <c r="P254" s="1551"/>
      <c r="AH254" s="1558">
        <v>0</v>
      </c>
    </row>
    <row r="255" spans="1:34" s="1562" customFormat="1" ht="18.75" hidden="1" customHeight="1">
      <c r="A255" s="1706"/>
      <c r="B255" s="1706"/>
      <c r="C255" s="306" t="s">
        <v>1154</v>
      </c>
      <c r="D255" s="2637"/>
      <c r="E255" s="2424"/>
      <c r="F255" s="2575"/>
      <c r="G255" s="2612"/>
      <c r="H255" s="1427"/>
      <c r="I255" s="588" t="s">
        <v>1153</v>
      </c>
      <c r="J255" s="508"/>
      <c r="K255" s="1427"/>
      <c r="L255" s="152"/>
      <c r="M255" s="279"/>
      <c r="N255" s="272"/>
      <c r="O255" s="1551"/>
      <c r="P255" s="1551"/>
      <c r="AH255" s="1558">
        <v>0</v>
      </c>
    </row>
    <row r="256" spans="1:34" s="1562" customFormat="1" ht="0.75" hidden="1" customHeight="1">
      <c r="A256" s="1706"/>
      <c r="B256" s="1706"/>
      <c r="C256" s="306" t="s">
        <v>1163</v>
      </c>
      <c r="D256" s="2637"/>
      <c r="E256" s="2424"/>
      <c r="F256" s="2575"/>
      <c r="G256" s="337"/>
      <c r="H256" s="1427"/>
      <c r="I256" s="588"/>
      <c r="J256" s="508"/>
      <c r="K256" s="1427"/>
      <c r="L256" s="152"/>
      <c r="M256" s="279"/>
      <c r="N256" s="272"/>
      <c r="O256" s="1551"/>
      <c r="P256" s="1551"/>
      <c r="AH256" s="1558">
        <v>0</v>
      </c>
    </row>
    <row r="257" spans="1:34" s="1562" customFormat="1" ht="18.75" hidden="1" customHeight="1">
      <c r="A257" s="1706" t="s">
        <v>267</v>
      </c>
      <c r="B257" s="1706" t="s">
        <v>268</v>
      </c>
      <c r="C257" s="306"/>
      <c r="D257" s="2637"/>
      <c r="E257" s="2424"/>
      <c r="F257" s="257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12" t="str">
        <f>INDEX(PT_DIFFERENTIATION_NTAR,MATCH(B257,PT_DIFFERENTIATION_NTAR_ID,0))</f>
        <v/>
      </c>
      <c r="H257" s="1787"/>
      <c r="I257" s="1665"/>
      <c r="J257" s="1699"/>
      <c r="K257" s="1704"/>
      <c r="L257" s="1787" t="s">
        <v>313</v>
      </c>
      <c r="M257" s="279"/>
      <c r="N257" s="272"/>
      <c r="O257" s="1551"/>
      <c r="P257" s="1551"/>
      <c r="AH257" s="1558">
        <v>0</v>
      </c>
    </row>
    <row r="258" spans="1:34" s="1562" customFormat="1" ht="18.75" hidden="1" customHeight="1">
      <c r="A258" s="1706"/>
      <c r="B258" s="1706"/>
      <c r="C258" s="306" t="s">
        <v>1154</v>
      </c>
      <c r="D258" s="2637"/>
      <c r="E258" s="2424"/>
      <c r="F258" s="2575"/>
      <c r="G258" s="2612"/>
      <c r="H258" s="1427"/>
      <c r="I258" s="588" t="s">
        <v>1153</v>
      </c>
      <c r="J258" s="508"/>
      <c r="K258" s="1427"/>
      <c r="L258" s="152"/>
      <c r="M258" s="279"/>
      <c r="N258" s="272"/>
      <c r="O258" s="1551"/>
      <c r="P258" s="1551"/>
      <c r="AH258" s="1558">
        <v>0</v>
      </c>
    </row>
    <row r="259" spans="1:34" s="1562" customFormat="1" ht="0.75" hidden="1" customHeight="1">
      <c r="A259" s="1706"/>
      <c r="B259" s="1706"/>
      <c r="C259" s="306" t="s">
        <v>1163</v>
      </c>
      <c r="D259" s="2637"/>
      <c r="E259" s="2424"/>
      <c r="F259" s="2575"/>
      <c r="G259" s="337"/>
      <c r="H259" s="1427"/>
      <c r="I259" s="588"/>
      <c r="J259" s="508"/>
      <c r="K259" s="1427"/>
      <c r="L259" s="152"/>
      <c r="M259" s="279"/>
      <c r="N259" s="272"/>
      <c r="O259" s="1551"/>
      <c r="P259" s="1551"/>
      <c r="AH259" s="1558">
        <v>0</v>
      </c>
    </row>
    <row r="260" spans="1:34" s="1562" customFormat="1" ht="18.75" hidden="1" customHeight="1">
      <c r="A260" s="1706" t="s">
        <v>272</v>
      </c>
      <c r="B260" s="1706" t="s">
        <v>273</v>
      </c>
      <c r="C260" s="306"/>
      <c r="D260" s="2637"/>
      <c r="E260" s="2424"/>
      <c r="F260" s="2575" t="str">
        <f>INDEX(PT_DIFFERENTIATION_VTAR,MATCH(A260,PT_DIFFERENTIATION_VTAR_ID,0))</f>
        <v>Тариф на водоотведение</v>
      </c>
      <c r="G260" s="2612" t="str">
        <f>INDEX(PT_DIFFERENTIATION_NTAR,MATCH(B260,PT_DIFFERENTIATION_NTAR_ID,0))</f>
        <v/>
      </c>
      <c r="H260" s="1787"/>
      <c r="I260" s="1665"/>
      <c r="J260" s="1699"/>
      <c r="K260" s="1704"/>
      <c r="L260" s="1787" t="s">
        <v>313</v>
      </c>
      <c r="M260" s="279"/>
      <c r="N260" s="272"/>
      <c r="O260" s="1551"/>
      <c r="P260" s="1551"/>
      <c r="AH260" s="1558">
        <v>0</v>
      </c>
    </row>
    <row r="261" spans="1:34" s="1562" customFormat="1" ht="18.75" hidden="1" customHeight="1">
      <c r="A261" s="1706"/>
      <c r="B261" s="1706"/>
      <c r="C261" s="306" t="s">
        <v>1154</v>
      </c>
      <c r="D261" s="2637"/>
      <c r="E261" s="2424"/>
      <c r="F261" s="2575"/>
      <c r="G261" s="2612"/>
      <c r="H261" s="1427"/>
      <c r="I261" s="588" t="s">
        <v>1153</v>
      </c>
      <c r="J261" s="508"/>
      <c r="K261" s="1427"/>
      <c r="L261" s="152"/>
      <c r="M261" s="279"/>
      <c r="N261" s="272"/>
      <c r="O261" s="1551"/>
      <c r="P261" s="1551"/>
      <c r="AH261" s="1558">
        <v>0</v>
      </c>
    </row>
    <row r="262" spans="1:34" s="1562" customFormat="1" ht="0.75" hidden="1" customHeight="1">
      <c r="A262" s="1706"/>
      <c r="B262" s="1706"/>
      <c r="C262" s="306" t="s">
        <v>1163</v>
      </c>
      <c r="D262" s="2637"/>
      <c r="E262" s="2424"/>
      <c r="F262" s="2575"/>
      <c r="G262" s="337"/>
      <c r="H262" s="1427"/>
      <c r="I262" s="588"/>
      <c r="J262" s="508"/>
      <c r="K262" s="1427"/>
      <c r="L262" s="152"/>
      <c r="M262" s="279"/>
      <c r="N262" s="272"/>
      <c r="O262" s="1551"/>
      <c r="P262" s="1551"/>
      <c r="AH262" s="1558">
        <v>0</v>
      </c>
    </row>
    <row r="263" spans="1:34" s="1562" customFormat="1" ht="18.75" hidden="1" customHeight="1">
      <c r="A263" s="1706" t="s">
        <v>277</v>
      </c>
      <c r="B263" s="1706" t="s">
        <v>278</v>
      </c>
      <c r="C263" s="306"/>
      <c r="D263" s="2637"/>
      <c r="E263" s="2424"/>
      <c r="F263" s="2575" t="str">
        <f>INDEX(PT_DIFFERENTIATION_VTAR,MATCH(A263,PT_DIFFERENTIATION_VTAR_ID,0))</f>
        <v>Тариф на транспортировку сточных вод</v>
      </c>
      <c r="G263" s="2612" t="str">
        <f>INDEX(PT_DIFFERENTIATION_NTAR,MATCH(B263,PT_DIFFERENTIATION_NTAR_ID,0))</f>
        <v/>
      </c>
      <c r="H263" s="1787"/>
      <c r="I263" s="1665"/>
      <c r="J263" s="1699"/>
      <c r="K263" s="1704"/>
      <c r="L263" s="1787" t="s">
        <v>313</v>
      </c>
      <c r="M263" s="279"/>
      <c r="N263" s="272"/>
      <c r="O263" s="1551"/>
      <c r="P263" s="1551"/>
      <c r="AH263" s="1558">
        <v>0</v>
      </c>
    </row>
    <row r="264" spans="1:34" s="1562" customFormat="1" ht="18.75" hidden="1" customHeight="1">
      <c r="A264" s="1706"/>
      <c r="B264" s="1706"/>
      <c r="C264" s="306" t="s">
        <v>1154</v>
      </c>
      <c r="D264" s="2637"/>
      <c r="E264" s="2424"/>
      <c r="F264" s="2575"/>
      <c r="G264" s="2612"/>
      <c r="H264" s="1427"/>
      <c r="I264" s="588" t="s">
        <v>1153</v>
      </c>
      <c r="J264" s="508"/>
      <c r="K264" s="1427"/>
      <c r="L264" s="152"/>
      <c r="M264" s="279"/>
      <c r="N264" s="272"/>
      <c r="O264" s="1551"/>
      <c r="P264" s="1551"/>
      <c r="AH264" s="1558">
        <v>0</v>
      </c>
    </row>
    <row r="265" spans="1:34" s="1562" customFormat="1" ht="0.75" hidden="1" customHeight="1">
      <c r="A265" s="1706"/>
      <c r="B265" s="1706"/>
      <c r="C265" s="306" t="s">
        <v>1163</v>
      </c>
      <c r="D265" s="2637"/>
      <c r="E265" s="2424"/>
      <c r="F265" s="2575"/>
      <c r="G265" s="337"/>
      <c r="H265" s="1427"/>
      <c r="I265" s="588"/>
      <c r="J265" s="508"/>
      <c r="K265" s="1427"/>
      <c r="L265" s="152"/>
      <c r="M265" s="279"/>
      <c r="N265" s="272"/>
      <c r="O265" s="1551"/>
      <c r="P265" s="1551"/>
      <c r="AH265" s="1558">
        <v>0</v>
      </c>
    </row>
    <row r="266" spans="1:34" s="1562" customFormat="1" ht="18.75" hidden="1" customHeight="1">
      <c r="A266" s="1706" t="s">
        <v>282</v>
      </c>
      <c r="B266" s="1706" t="s">
        <v>283</v>
      </c>
      <c r="C266" s="306"/>
      <c r="D266" s="2637"/>
      <c r="E266" s="2424"/>
      <c r="F266" s="2575" t="str">
        <f>INDEX(PT_DIFFERENTIATION_VTAR,MATCH(A266,PT_DIFFERENTIATION_VTAR_ID,0))</f>
        <v>Тариф на подключение (технологическое присоединение) к централизованной системе водоотведения</v>
      </c>
      <c r="G266" s="2612" t="str">
        <f>INDEX(PT_DIFFERENTIATION_NTAR,MATCH(B266,PT_DIFFERENTIATION_NTAR_ID,0))</f>
        <v/>
      </c>
      <c r="H266" s="1787"/>
      <c r="I266" s="1665"/>
      <c r="J266" s="1699"/>
      <c r="K266" s="1704"/>
      <c r="L266" s="1787" t="s">
        <v>313</v>
      </c>
      <c r="M266" s="279"/>
      <c r="N266" s="272"/>
      <c r="O266" s="1551"/>
      <c r="P266" s="1551"/>
      <c r="AH266" s="1558">
        <v>0</v>
      </c>
    </row>
    <row r="267" spans="1:34" s="1562" customFormat="1" ht="18.75" hidden="1" customHeight="1">
      <c r="A267" s="1706"/>
      <c r="B267" s="1706"/>
      <c r="C267" s="306" t="s">
        <v>1154</v>
      </c>
      <c r="D267" s="2637"/>
      <c r="E267" s="2424"/>
      <c r="F267" s="2575"/>
      <c r="G267" s="2612"/>
      <c r="H267" s="1427"/>
      <c r="I267" s="588" t="s">
        <v>1153</v>
      </c>
      <c r="J267" s="508"/>
      <c r="K267" s="1427"/>
      <c r="L267" s="152"/>
      <c r="M267" s="279"/>
      <c r="N267" s="272"/>
      <c r="O267" s="1551"/>
      <c r="P267" s="1551"/>
      <c r="AH267" s="1558">
        <v>0</v>
      </c>
    </row>
    <row r="268" spans="1:34" s="1562" customFormat="1" ht="1.1499999999999999" customHeight="1">
      <c r="A268" s="1706"/>
      <c r="B268" s="1706"/>
      <c r="C268" s="306" t="s">
        <v>1163</v>
      </c>
      <c r="D268" s="2637"/>
      <c r="E268" s="2424"/>
      <c r="F268" s="2575"/>
      <c r="G268" s="337"/>
      <c r="H268" s="1427"/>
      <c r="I268" s="588"/>
      <c r="J268" s="508"/>
      <c r="K268" s="1427"/>
      <c r="L268" s="152"/>
      <c r="M268" s="279"/>
      <c r="N268" s="272"/>
      <c r="O268" s="1551"/>
      <c r="P268" s="1551"/>
      <c r="AH268" s="1558">
        <v>1</v>
      </c>
    </row>
    <row r="269" spans="1:34" ht="27.4" customHeight="1">
      <c r="A269" s="1706"/>
      <c r="B269" s="1706"/>
      <c r="D269" s="313"/>
      <c r="E269" s="85" t="s">
        <v>93</v>
      </c>
      <c r="F269" s="263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6"/>
      <c r="H269" s="2636"/>
      <c r="I269" s="2636"/>
      <c r="J269" s="2636"/>
      <c r="K269" s="2636"/>
      <c r="L269" s="2636"/>
      <c r="M269" s="235"/>
      <c r="N269" s="272"/>
      <c r="AH269" s="311">
        <v>26</v>
      </c>
    </row>
    <row r="270" spans="1:34" s="1562" customFormat="1" ht="60.75" hidden="1" customHeight="1">
      <c r="A270" s="1706" t="s">
        <v>156</v>
      </c>
      <c r="B270" s="1706" t="s">
        <v>157</v>
      </c>
      <c r="C270" s="306"/>
      <c r="D270" s="2637"/>
      <c r="E270" s="2424"/>
      <c r="F270" s="257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12" t="str">
        <f>INDEX(PT_DIFFERENTIATION_NTAR,MATCH(B270,PT_DIFFERENTIATION_NTAR_ID,0))</f>
        <v/>
      </c>
      <c r="H270" s="1787"/>
      <c r="I270" s="1665"/>
      <c r="J270" s="1699"/>
      <c r="K270" s="1704"/>
      <c r="L270" s="1787" t="s">
        <v>313</v>
      </c>
      <c r="M270" s="23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1"/>
      <c r="P270" s="1551"/>
      <c r="AH270" s="1558">
        <v>0</v>
      </c>
    </row>
    <row r="271" spans="1:34" s="1562" customFormat="1" ht="18.75" hidden="1" customHeight="1">
      <c r="A271" s="1706"/>
      <c r="B271" s="1706"/>
      <c r="C271" s="306" t="s">
        <v>1154</v>
      </c>
      <c r="D271" s="2637"/>
      <c r="E271" s="2424"/>
      <c r="F271" s="2575"/>
      <c r="G271" s="2612"/>
      <c r="H271" s="1427"/>
      <c r="I271" s="588" t="s">
        <v>1153</v>
      </c>
      <c r="J271" s="508"/>
      <c r="K271" s="1427"/>
      <c r="L271" s="152"/>
      <c r="M271" s="2379"/>
      <c r="N271" s="272"/>
      <c r="O271" s="1551"/>
      <c r="P271" s="1551"/>
      <c r="AH271" s="1558">
        <v>0</v>
      </c>
    </row>
    <row r="272" spans="1:34" s="1562" customFormat="1" ht="0.75" hidden="1" customHeight="1">
      <c r="A272" s="1706"/>
      <c r="B272" s="1706"/>
      <c r="C272" s="306" t="s">
        <v>1163</v>
      </c>
      <c r="D272" s="2637"/>
      <c r="E272" s="2424"/>
      <c r="F272" s="2575"/>
      <c r="G272" s="337"/>
      <c r="H272" s="1427"/>
      <c r="I272" s="588"/>
      <c r="J272" s="508"/>
      <c r="K272" s="1427"/>
      <c r="L272" s="152"/>
      <c r="M272" s="2379"/>
      <c r="N272" s="272"/>
      <c r="O272" s="1551"/>
      <c r="P272" s="1551"/>
      <c r="AH272" s="1558">
        <v>0</v>
      </c>
    </row>
    <row r="273" spans="1:34" s="1562" customFormat="1" ht="45" customHeight="1">
      <c r="A273" s="1706" t="s">
        <v>164</v>
      </c>
      <c r="B273" s="1706" t="s">
        <v>165</v>
      </c>
      <c r="C273" s="306"/>
      <c r="D273" s="2637"/>
      <c r="E273" s="2424"/>
      <c r="F273" s="2575"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612" t="str">
        <f>INDEX(PT_DIFFERENTIATION_NTAR,MATCH(B273,PT_DIFFERENTIATION_NTAR_ID,0))</f>
        <v>Тариф на тепловую энергию (мощность), поставляемую потребителям</v>
      </c>
      <c r="H273" s="1787"/>
      <c r="I273" s="1665">
        <v>46023</v>
      </c>
      <c r="J273" s="1699">
        <v>46387</v>
      </c>
      <c r="K273" s="1704">
        <v>0</v>
      </c>
      <c r="L273" s="1787" t="s">
        <v>313</v>
      </c>
      <c r="M273" s="2380"/>
      <c r="N273" s="272"/>
      <c r="O273" s="1551"/>
      <c r="P273" s="1551"/>
      <c r="AH273" s="1558">
        <v>0</v>
      </c>
    </row>
    <row r="274" spans="1:34" s="1562" customFormat="1" ht="18.75" customHeight="1">
      <c r="A274" s="1706"/>
      <c r="B274" s="1706"/>
      <c r="C274" s="306" t="s">
        <v>1154</v>
      </c>
      <c r="D274" s="2637"/>
      <c r="E274" s="2424"/>
      <c r="F274" s="2575"/>
      <c r="G274" s="2612"/>
      <c r="H274" s="1427"/>
      <c r="I274" s="588" t="s">
        <v>1153</v>
      </c>
      <c r="J274" s="508"/>
      <c r="K274" s="1427"/>
      <c r="L274" s="152"/>
      <c r="M274" s="1786"/>
      <c r="N274" s="272"/>
      <c r="O274" s="1551"/>
      <c r="P274" s="1551"/>
      <c r="AH274" s="1558">
        <v>0</v>
      </c>
    </row>
    <row r="275" spans="1:34" s="1562" customFormat="1" ht="0.75" customHeight="1">
      <c r="A275" s="1706"/>
      <c r="B275" s="1706"/>
      <c r="C275" s="306" t="s">
        <v>1163</v>
      </c>
      <c r="D275" s="2637"/>
      <c r="E275" s="2424"/>
      <c r="F275" s="2575"/>
      <c r="G275" s="337"/>
      <c r="H275" s="1427"/>
      <c r="I275" s="588"/>
      <c r="J275" s="508"/>
      <c r="K275" s="1427"/>
      <c r="L275" s="152"/>
      <c r="M275" s="279"/>
      <c r="N275" s="272"/>
      <c r="O275" s="1551"/>
      <c r="P275" s="1551"/>
      <c r="AH275" s="1558">
        <v>0</v>
      </c>
    </row>
    <row r="276" spans="1:34" s="1562" customFormat="1" ht="45" hidden="1" customHeight="1">
      <c r="A276" s="1706" t="s">
        <v>174</v>
      </c>
      <c r="B276" s="1706" t="s">
        <v>175</v>
      </c>
      <c r="C276" s="306"/>
      <c r="D276" s="2637"/>
      <c r="E276" s="2424"/>
      <c r="F276" s="257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12" t="str">
        <f>INDEX(PT_DIFFERENTIATION_NTAR,MATCH(B276,PT_DIFFERENTIATION_NTAR_ID,0))</f>
        <v/>
      </c>
      <c r="H276" s="1787"/>
      <c r="I276" s="1665"/>
      <c r="J276" s="1699"/>
      <c r="K276" s="1704"/>
      <c r="L276" s="1787" t="s">
        <v>313</v>
      </c>
      <c r="M276" s="279"/>
      <c r="N276" s="272"/>
      <c r="O276" s="1551"/>
      <c r="P276" s="1551"/>
      <c r="AH276" s="1558">
        <v>0</v>
      </c>
    </row>
    <row r="277" spans="1:34" s="1562" customFormat="1" ht="18.75" hidden="1" customHeight="1">
      <c r="A277" s="1706"/>
      <c r="B277" s="1706"/>
      <c r="C277" s="306" t="s">
        <v>1154</v>
      </c>
      <c r="D277" s="2637"/>
      <c r="E277" s="2424"/>
      <c r="F277" s="2575"/>
      <c r="G277" s="2612"/>
      <c r="H277" s="1427"/>
      <c r="I277" s="588" t="s">
        <v>1153</v>
      </c>
      <c r="J277" s="508"/>
      <c r="K277" s="1427"/>
      <c r="L277" s="152"/>
      <c r="M277" s="279"/>
      <c r="N277" s="272"/>
      <c r="O277" s="1551"/>
      <c r="P277" s="1551"/>
      <c r="AH277" s="1558">
        <v>0</v>
      </c>
    </row>
    <row r="278" spans="1:34" s="1562" customFormat="1" ht="0.75" hidden="1" customHeight="1">
      <c r="A278" s="1706"/>
      <c r="B278" s="1706"/>
      <c r="C278" s="306" t="s">
        <v>1163</v>
      </c>
      <c r="D278" s="2637"/>
      <c r="E278" s="2424"/>
      <c r="F278" s="2575"/>
      <c r="G278" s="337"/>
      <c r="H278" s="1427"/>
      <c r="I278" s="588"/>
      <c r="J278" s="508"/>
      <c r="K278" s="1427"/>
      <c r="L278" s="152"/>
      <c r="M278" s="279"/>
      <c r="N278" s="272"/>
      <c r="O278" s="1551"/>
      <c r="P278" s="1551"/>
      <c r="AH278" s="1558">
        <v>0</v>
      </c>
    </row>
    <row r="279" spans="1:34" s="1562" customFormat="1" ht="45" customHeight="1">
      <c r="A279" s="1706" t="s">
        <v>182</v>
      </c>
      <c r="B279" s="1706" t="s">
        <v>183</v>
      </c>
      <c r="C279" s="306"/>
      <c r="D279" s="2637"/>
      <c r="E279" s="2424"/>
      <c r="F279" s="257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12" t="str">
        <f>INDEX(PT_DIFFERENTIATION_NTAR,MATCH(B279,PT_DIFFERENTIATION_NTAR_ID,0))</f>
        <v>Тариф на горячую воду в открытой системе теплоснабжения (горячее водоснабжение)</v>
      </c>
      <c r="H279" s="1787"/>
      <c r="I279" s="1665">
        <v>46023</v>
      </c>
      <c r="J279" s="1699">
        <v>46387</v>
      </c>
      <c r="K279" s="1704">
        <v>0</v>
      </c>
      <c r="L279" s="1787" t="s">
        <v>313</v>
      </c>
      <c r="M279" s="279"/>
      <c r="N279" s="272"/>
      <c r="O279" s="1551"/>
      <c r="P279" s="1551"/>
      <c r="AH279" s="1558">
        <v>0</v>
      </c>
    </row>
    <row r="280" spans="1:34" s="1562" customFormat="1" ht="18.75" customHeight="1">
      <c r="A280" s="1706"/>
      <c r="B280" s="1706"/>
      <c r="C280" s="306" t="s">
        <v>1154</v>
      </c>
      <c r="D280" s="2637"/>
      <c r="E280" s="2424"/>
      <c r="F280" s="2575"/>
      <c r="G280" s="2612"/>
      <c r="H280" s="1427"/>
      <c r="I280" s="588" t="s">
        <v>1153</v>
      </c>
      <c r="J280" s="508"/>
      <c r="K280" s="1427"/>
      <c r="L280" s="152"/>
      <c r="M280" s="279"/>
      <c r="N280" s="272"/>
      <c r="O280" s="1551"/>
      <c r="P280" s="1551"/>
      <c r="AH280" s="1558">
        <v>0</v>
      </c>
    </row>
    <row r="281" spans="1:34" s="1562" customFormat="1" ht="0.75" customHeight="1">
      <c r="A281" s="1706"/>
      <c r="B281" s="1706"/>
      <c r="C281" s="306" t="s">
        <v>1163</v>
      </c>
      <c r="D281" s="2637"/>
      <c r="E281" s="2424"/>
      <c r="F281" s="2575"/>
      <c r="G281" s="337"/>
      <c r="H281" s="1427"/>
      <c r="I281" s="588"/>
      <c r="J281" s="508"/>
      <c r="K281" s="1427"/>
      <c r="L281" s="152"/>
      <c r="M281" s="279"/>
      <c r="N281" s="272"/>
      <c r="O281" s="1551"/>
      <c r="P281" s="1551"/>
      <c r="AH281" s="1558">
        <v>0</v>
      </c>
    </row>
    <row r="282" spans="1:34" s="1562" customFormat="1" ht="18.75" hidden="1" customHeight="1">
      <c r="A282" s="1706" t="s">
        <v>188</v>
      </c>
      <c r="B282" s="1706" t="s">
        <v>189</v>
      </c>
      <c r="C282" s="306"/>
      <c r="D282" s="2637"/>
      <c r="E282" s="2424"/>
      <c r="F282" s="2575" t="str">
        <f>INDEX(PT_DIFFERENTIATION_VTAR,MATCH(A282,PT_DIFFERENTIATION_VTAR_ID,0))</f>
        <v>Тарифы на услуги по передаче тепловой энергии</v>
      </c>
      <c r="G282" s="2612" t="str">
        <f>INDEX(PT_DIFFERENTIATION_NTAR,MATCH(B282,PT_DIFFERENTIATION_NTAR_ID,0))</f>
        <v/>
      </c>
      <c r="H282" s="1787"/>
      <c r="I282" s="1665"/>
      <c r="J282" s="1699"/>
      <c r="K282" s="1704"/>
      <c r="L282" s="1787" t="s">
        <v>313</v>
      </c>
      <c r="M282" s="279"/>
      <c r="N282" s="272"/>
      <c r="O282" s="1551"/>
      <c r="P282" s="1551"/>
      <c r="AH282" s="1558">
        <v>0</v>
      </c>
    </row>
    <row r="283" spans="1:34" s="1562" customFormat="1" ht="18.75" hidden="1" customHeight="1">
      <c r="A283" s="1706"/>
      <c r="B283" s="1706"/>
      <c r="C283" s="306" t="s">
        <v>1154</v>
      </c>
      <c r="D283" s="2637"/>
      <c r="E283" s="2424"/>
      <c r="F283" s="2575"/>
      <c r="G283" s="2612"/>
      <c r="H283" s="1427"/>
      <c r="I283" s="588" t="s">
        <v>1153</v>
      </c>
      <c r="J283" s="508"/>
      <c r="K283" s="1427"/>
      <c r="L283" s="152"/>
      <c r="M283" s="279"/>
      <c r="N283" s="272"/>
      <c r="O283" s="1551"/>
      <c r="P283" s="1551"/>
      <c r="AH283" s="1558">
        <v>0</v>
      </c>
    </row>
    <row r="284" spans="1:34" s="1562" customFormat="1" ht="0.75" hidden="1" customHeight="1">
      <c r="A284" s="1706"/>
      <c r="B284" s="1706"/>
      <c r="C284" s="306" t="s">
        <v>1163</v>
      </c>
      <c r="D284" s="2637"/>
      <c r="E284" s="2424"/>
      <c r="F284" s="2575"/>
      <c r="G284" s="337"/>
      <c r="H284" s="1427"/>
      <c r="I284" s="588"/>
      <c r="J284" s="508"/>
      <c r="K284" s="1427"/>
      <c r="L284" s="152"/>
      <c r="M284" s="279"/>
      <c r="N284" s="272"/>
      <c r="O284" s="1551"/>
      <c r="P284" s="1551"/>
      <c r="AH284" s="1558">
        <v>0</v>
      </c>
    </row>
    <row r="285" spans="1:34" s="1562" customFormat="1" ht="18.75" hidden="1" customHeight="1">
      <c r="A285" s="1706" t="s">
        <v>194</v>
      </c>
      <c r="B285" s="1706" t="s">
        <v>195</v>
      </c>
      <c r="C285" s="306"/>
      <c r="D285" s="2637"/>
      <c r="E285" s="2424"/>
      <c r="F285" s="2575" t="str">
        <f>INDEX(PT_DIFFERENTIATION_VTAR,MATCH(A285,PT_DIFFERENTIATION_VTAR_ID,0))</f>
        <v>Тарифы на услуги по передаче теплоносителя</v>
      </c>
      <c r="G285" s="2612" t="str">
        <f>INDEX(PT_DIFFERENTIATION_NTAR,MATCH(B285,PT_DIFFERENTIATION_NTAR_ID,0))</f>
        <v/>
      </c>
      <c r="H285" s="1787"/>
      <c r="I285" s="1665"/>
      <c r="J285" s="1699"/>
      <c r="K285" s="1704"/>
      <c r="L285" s="1787" t="s">
        <v>313</v>
      </c>
      <c r="M285" s="279"/>
      <c r="N285" s="272"/>
      <c r="O285" s="1551"/>
      <c r="P285" s="1551"/>
      <c r="AH285" s="1558">
        <v>0</v>
      </c>
    </row>
    <row r="286" spans="1:34" s="1562" customFormat="1" ht="18.75" hidden="1" customHeight="1">
      <c r="A286" s="1706"/>
      <c r="B286" s="1706"/>
      <c r="C286" s="306" t="s">
        <v>1154</v>
      </c>
      <c r="D286" s="2637"/>
      <c r="E286" s="2424"/>
      <c r="F286" s="2575"/>
      <c r="G286" s="2612"/>
      <c r="H286" s="1427"/>
      <c r="I286" s="588" t="s">
        <v>1153</v>
      </c>
      <c r="J286" s="508"/>
      <c r="K286" s="1427"/>
      <c r="L286" s="152"/>
      <c r="M286" s="279"/>
      <c r="N286" s="272"/>
      <c r="O286" s="1551"/>
      <c r="P286" s="1551"/>
      <c r="AH286" s="1558">
        <v>0</v>
      </c>
    </row>
    <row r="287" spans="1:34" s="1562" customFormat="1" ht="0.75" hidden="1" customHeight="1">
      <c r="A287" s="1706"/>
      <c r="B287" s="1706"/>
      <c r="C287" s="306" t="s">
        <v>1163</v>
      </c>
      <c r="D287" s="2637"/>
      <c r="E287" s="2424"/>
      <c r="F287" s="2575"/>
      <c r="G287" s="337"/>
      <c r="H287" s="1427"/>
      <c r="I287" s="588"/>
      <c r="J287" s="508"/>
      <c r="K287" s="1427"/>
      <c r="L287" s="152"/>
      <c r="M287" s="279"/>
      <c r="N287" s="272"/>
      <c r="O287" s="1551"/>
      <c r="P287" s="1551"/>
      <c r="AH287" s="1558">
        <v>0</v>
      </c>
    </row>
    <row r="288" spans="1:34" s="1562" customFormat="1" ht="18.75" hidden="1" customHeight="1">
      <c r="A288" s="1706" t="s">
        <v>200</v>
      </c>
      <c r="B288" s="1706" t="s">
        <v>201</v>
      </c>
      <c r="C288" s="306"/>
      <c r="D288" s="2637"/>
      <c r="E288" s="2424"/>
      <c r="F288" s="257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12" t="str">
        <f>INDEX(PT_DIFFERENTIATION_NTAR,MATCH(B288,PT_DIFFERENTIATION_NTAR_ID,0))</f>
        <v/>
      </c>
      <c r="H288" s="1787"/>
      <c r="I288" s="1665"/>
      <c r="J288" s="1699"/>
      <c r="K288" s="1704"/>
      <c r="L288" s="1787" t="s">
        <v>313</v>
      </c>
      <c r="M288" s="279"/>
      <c r="N288" s="272"/>
      <c r="O288" s="1551"/>
      <c r="P288" s="1551"/>
      <c r="AH288" s="1558">
        <v>0</v>
      </c>
    </row>
    <row r="289" spans="1:34" s="1562" customFormat="1" ht="18.75" hidden="1" customHeight="1">
      <c r="A289" s="1706"/>
      <c r="B289" s="1706"/>
      <c r="C289" s="306" t="s">
        <v>1154</v>
      </c>
      <c r="D289" s="2637"/>
      <c r="E289" s="2424"/>
      <c r="F289" s="2575"/>
      <c r="G289" s="2612"/>
      <c r="H289" s="1427"/>
      <c r="I289" s="588" t="s">
        <v>1153</v>
      </c>
      <c r="J289" s="508"/>
      <c r="K289" s="1427"/>
      <c r="L289" s="152"/>
      <c r="M289" s="279"/>
      <c r="N289" s="272"/>
      <c r="O289" s="1551"/>
      <c r="P289" s="1551"/>
      <c r="AH289" s="1558">
        <v>0</v>
      </c>
    </row>
    <row r="290" spans="1:34" s="1562" customFormat="1" ht="0.75" hidden="1" customHeight="1">
      <c r="A290" s="1706"/>
      <c r="B290" s="1706"/>
      <c r="C290" s="306" t="s">
        <v>1163</v>
      </c>
      <c r="D290" s="2637"/>
      <c r="E290" s="2424"/>
      <c r="F290" s="2575"/>
      <c r="G290" s="337"/>
      <c r="H290" s="1427"/>
      <c r="I290" s="588"/>
      <c r="J290" s="508"/>
      <c r="K290" s="1427"/>
      <c r="L290" s="152"/>
      <c r="M290" s="279"/>
      <c r="N290" s="272"/>
      <c r="O290" s="1551"/>
      <c r="P290" s="1551"/>
      <c r="AH290" s="1558">
        <v>0</v>
      </c>
    </row>
    <row r="291" spans="1:34" s="1562" customFormat="1" ht="18.75" hidden="1" customHeight="1">
      <c r="A291" s="1706" t="s">
        <v>206</v>
      </c>
      <c r="B291" s="1706" t="s">
        <v>207</v>
      </c>
      <c r="C291" s="306"/>
      <c r="D291" s="2637"/>
      <c r="E291" s="2424"/>
      <c r="F291" s="2575" t="str">
        <f>INDEX(PT_DIFFERENTIATION_VTAR,MATCH(A291,PT_DIFFERENTIATION_VTAR_ID,0))</f>
        <v>Плата за подключение (технологическое присоединение) к системе теплоснабжения</v>
      </c>
      <c r="G291" s="2612" t="str">
        <f>INDEX(PT_DIFFERENTIATION_NTAR,MATCH(B291,PT_DIFFERENTIATION_NTAR_ID,0))</f>
        <v/>
      </c>
      <c r="H291" s="1787"/>
      <c r="I291" s="1665"/>
      <c r="J291" s="1699"/>
      <c r="K291" s="1704"/>
      <c r="L291" s="1787" t="s">
        <v>313</v>
      </c>
      <c r="M291" s="279"/>
      <c r="N291" s="272"/>
      <c r="O291" s="1551"/>
      <c r="P291" s="1551"/>
      <c r="AH291" s="1558">
        <v>0</v>
      </c>
    </row>
    <row r="292" spans="1:34" s="1562" customFormat="1" ht="18.75" hidden="1" customHeight="1">
      <c r="A292" s="1706"/>
      <c r="B292" s="1706"/>
      <c r="C292" s="306" t="s">
        <v>1154</v>
      </c>
      <c r="D292" s="2637"/>
      <c r="E292" s="2424"/>
      <c r="F292" s="2575"/>
      <c r="G292" s="2612"/>
      <c r="H292" s="1427"/>
      <c r="I292" s="588" t="s">
        <v>1153</v>
      </c>
      <c r="J292" s="508"/>
      <c r="K292" s="1427"/>
      <c r="L292" s="152"/>
      <c r="M292" s="279"/>
      <c r="N292" s="272"/>
      <c r="O292" s="1551"/>
      <c r="P292" s="1551"/>
      <c r="AH292" s="1558">
        <v>0</v>
      </c>
    </row>
    <row r="293" spans="1:34" s="1562" customFormat="1" ht="0.75" hidden="1" customHeight="1">
      <c r="A293" s="1706"/>
      <c r="B293" s="1706"/>
      <c r="C293" s="306" t="s">
        <v>1163</v>
      </c>
      <c r="D293" s="2637"/>
      <c r="E293" s="2424"/>
      <c r="F293" s="2575"/>
      <c r="G293" s="337"/>
      <c r="H293" s="1427"/>
      <c r="I293" s="588"/>
      <c r="J293" s="508"/>
      <c r="K293" s="1427"/>
      <c r="L293" s="152"/>
      <c r="M293" s="279"/>
      <c r="N293" s="272"/>
      <c r="O293" s="1551"/>
      <c r="P293" s="1551"/>
      <c r="AH293" s="1558">
        <v>0</v>
      </c>
    </row>
    <row r="294" spans="1:34" s="1562" customFormat="1" ht="18.75" hidden="1" customHeight="1">
      <c r="A294" s="1706" t="s">
        <v>212</v>
      </c>
      <c r="B294" s="1706" t="s">
        <v>213</v>
      </c>
      <c r="C294" s="306"/>
      <c r="D294" s="2637"/>
      <c r="E294" s="2424"/>
      <c r="F294" s="2575" t="str">
        <f>INDEX(PT_DIFFERENTIATION_VTAR,MATCH(A294,PT_DIFFERENTIATION_VTAR_ID,0))</f>
        <v>Плата за подключение (технологическое присоединение) к системе теплоснабжения (индивидуальная)</v>
      </c>
      <c r="G294" s="2612" t="str">
        <f>INDEX(PT_DIFFERENTIATION_NTAR,MATCH(B294,PT_DIFFERENTIATION_NTAR_ID,0))</f>
        <v/>
      </c>
      <c r="H294" s="1911"/>
      <c r="I294" s="1665"/>
      <c r="J294" s="1699"/>
      <c r="K294" s="1704"/>
      <c r="L294" s="1911" t="s">
        <v>313</v>
      </c>
      <c r="M294" s="279"/>
      <c r="N294" s="272"/>
      <c r="O294" s="1551"/>
      <c r="P294" s="1551"/>
      <c r="AH294" s="1558">
        <v>0</v>
      </c>
    </row>
    <row r="295" spans="1:34" s="1562" customFormat="1" ht="18.75" hidden="1" customHeight="1">
      <c r="A295" s="1706"/>
      <c r="B295" s="1706"/>
      <c r="C295" s="306" t="s">
        <v>1154</v>
      </c>
      <c r="D295" s="2637"/>
      <c r="E295" s="2424"/>
      <c r="F295" s="2575"/>
      <c r="G295" s="2612"/>
      <c r="H295" s="1427"/>
      <c r="I295" s="588" t="s">
        <v>1153</v>
      </c>
      <c r="J295" s="508"/>
      <c r="K295" s="1427"/>
      <c r="L295" s="152"/>
      <c r="M295" s="279"/>
      <c r="N295" s="272"/>
      <c r="O295" s="1551"/>
      <c r="P295" s="1551"/>
      <c r="AH295" s="1558">
        <v>0</v>
      </c>
    </row>
    <row r="296" spans="1:34" s="1562" customFormat="1" ht="0.75" hidden="1" customHeight="1">
      <c r="A296" s="1706"/>
      <c r="B296" s="1706"/>
      <c r="C296" s="306" t="s">
        <v>1163</v>
      </c>
      <c r="D296" s="2637"/>
      <c r="E296" s="2424"/>
      <c r="F296" s="2575"/>
      <c r="G296" s="337"/>
      <c r="H296" s="1427"/>
      <c r="I296" s="588"/>
      <c r="J296" s="508"/>
      <c r="K296" s="1427"/>
      <c r="L296" s="152"/>
      <c r="M296" s="279"/>
      <c r="N296" s="272"/>
      <c r="O296" s="1551"/>
      <c r="P296" s="1551"/>
      <c r="AH296" s="1558">
        <v>0</v>
      </c>
    </row>
    <row r="297" spans="1:34" s="1562" customFormat="1" ht="18.75" hidden="1" customHeight="1">
      <c r="A297" s="1706" t="s">
        <v>232</v>
      </c>
      <c r="B297" s="1706" t="s">
        <v>233</v>
      </c>
      <c r="C297" s="306"/>
      <c r="D297" s="2637"/>
      <c r="E297" s="2424"/>
      <c r="F297" s="2575" t="str">
        <f>INDEX(PT_DIFFERENTIATION_VTAR,MATCH(A297,PT_DIFFERENTIATION_VTAR_ID,0))</f>
        <v>Тариф на питьевую воду (питьевое водоснабжение)</v>
      </c>
      <c r="G297" s="2612" t="str">
        <f>INDEX(PT_DIFFERENTIATION_NTAR,MATCH(B297,PT_DIFFERENTIATION_NTAR_ID,0))</f>
        <v/>
      </c>
      <c r="H297" s="1787"/>
      <c r="I297" s="1665"/>
      <c r="J297" s="1699"/>
      <c r="K297" s="1704"/>
      <c r="L297" s="1787" t="s">
        <v>313</v>
      </c>
      <c r="M297" s="279"/>
      <c r="N297" s="272"/>
      <c r="O297" s="1551"/>
      <c r="P297" s="1551"/>
      <c r="AH297" s="1558">
        <v>0</v>
      </c>
    </row>
    <row r="298" spans="1:34" s="1562" customFormat="1" ht="18.75" hidden="1" customHeight="1">
      <c r="A298" s="1706"/>
      <c r="B298" s="1706"/>
      <c r="C298" s="306" t="s">
        <v>1154</v>
      </c>
      <c r="D298" s="2637"/>
      <c r="E298" s="2424"/>
      <c r="F298" s="2575"/>
      <c r="G298" s="2612"/>
      <c r="H298" s="1427"/>
      <c r="I298" s="588" t="s">
        <v>1153</v>
      </c>
      <c r="J298" s="508"/>
      <c r="K298" s="1427"/>
      <c r="L298" s="152"/>
      <c r="M298" s="279"/>
      <c r="N298" s="272"/>
      <c r="O298" s="1551"/>
      <c r="P298" s="1551"/>
      <c r="AH298" s="1558">
        <v>0</v>
      </c>
    </row>
    <row r="299" spans="1:34" s="1562" customFormat="1" ht="0.75" hidden="1" customHeight="1">
      <c r="A299" s="1706"/>
      <c r="B299" s="1706"/>
      <c r="C299" s="306" t="s">
        <v>1163</v>
      </c>
      <c r="D299" s="2637"/>
      <c r="E299" s="2424"/>
      <c r="F299" s="2575"/>
      <c r="G299" s="337"/>
      <c r="H299" s="1427"/>
      <c r="I299" s="588"/>
      <c r="J299" s="508"/>
      <c r="K299" s="1427"/>
      <c r="L299" s="152"/>
      <c r="M299" s="279"/>
      <c r="N299" s="272"/>
      <c r="O299" s="1551"/>
      <c r="P299" s="1551"/>
      <c r="AH299" s="1558">
        <v>0</v>
      </c>
    </row>
    <row r="300" spans="1:34" s="1562" customFormat="1" ht="18.75" hidden="1" customHeight="1">
      <c r="A300" s="1706" t="s">
        <v>237</v>
      </c>
      <c r="B300" s="1706" t="s">
        <v>238</v>
      </c>
      <c r="C300" s="306"/>
      <c r="D300" s="2637"/>
      <c r="E300" s="2424"/>
      <c r="F300" s="2575" t="str">
        <f>INDEX(PT_DIFFERENTIATION_VTAR,MATCH(A300,PT_DIFFERENTIATION_VTAR_ID,0))</f>
        <v>Тариф на техническую воду</v>
      </c>
      <c r="G300" s="2612" t="str">
        <f>INDEX(PT_DIFFERENTIATION_NTAR,MATCH(B300,PT_DIFFERENTIATION_NTAR_ID,0))</f>
        <v/>
      </c>
      <c r="H300" s="1787"/>
      <c r="I300" s="1665"/>
      <c r="J300" s="1699"/>
      <c r="K300" s="1704"/>
      <c r="L300" s="1787" t="s">
        <v>313</v>
      </c>
      <c r="M300" s="279"/>
      <c r="N300" s="272"/>
      <c r="O300" s="1551"/>
      <c r="P300" s="1551"/>
      <c r="AH300" s="1558">
        <v>0</v>
      </c>
    </row>
    <row r="301" spans="1:34" s="1562" customFormat="1" ht="18.75" hidden="1" customHeight="1">
      <c r="A301" s="1706"/>
      <c r="B301" s="1706"/>
      <c r="C301" s="306" t="s">
        <v>1154</v>
      </c>
      <c r="D301" s="2637"/>
      <c r="E301" s="2424"/>
      <c r="F301" s="2575"/>
      <c r="G301" s="2612"/>
      <c r="H301" s="1427"/>
      <c r="I301" s="588" t="s">
        <v>1153</v>
      </c>
      <c r="J301" s="508"/>
      <c r="K301" s="1427"/>
      <c r="L301" s="152"/>
      <c r="M301" s="279"/>
      <c r="N301" s="272"/>
      <c r="O301" s="1551"/>
      <c r="P301" s="1551"/>
      <c r="AH301" s="1558">
        <v>0</v>
      </c>
    </row>
    <row r="302" spans="1:34" s="1562" customFormat="1" ht="0.75" hidden="1" customHeight="1">
      <c r="A302" s="1706"/>
      <c r="B302" s="1706"/>
      <c r="C302" s="306" t="s">
        <v>1163</v>
      </c>
      <c r="D302" s="2637"/>
      <c r="E302" s="2424"/>
      <c r="F302" s="2575"/>
      <c r="G302" s="337"/>
      <c r="H302" s="1427"/>
      <c r="I302" s="588"/>
      <c r="J302" s="508"/>
      <c r="K302" s="1427"/>
      <c r="L302" s="152"/>
      <c r="M302" s="279"/>
      <c r="N302" s="272"/>
      <c r="O302" s="1551"/>
      <c r="P302" s="1551"/>
      <c r="AH302" s="1558">
        <v>0</v>
      </c>
    </row>
    <row r="303" spans="1:34" s="1562" customFormat="1" ht="18.75" hidden="1" customHeight="1">
      <c r="A303" s="1706" t="s">
        <v>242</v>
      </c>
      <c r="B303" s="1706" t="s">
        <v>243</v>
      </c>
      <c r="C303" s="306"/>
      <c r="D303" s="2637"/>
      <c r="E303" s="2424"/>
      <c r="F303" s="2575" t="str">
        <f>INDEX(PT_DIFFERENTIATION_VTAR,MATCH(A303,PT_DIFFERENTIATION_VTAR_ID,0))</f>
        <v>Тариф на транспортировку воды</v>
      </c>
      <c r="G303" s="2612" t="str">
        <f>INDEX(PT_DIFFERENTIATION_NTAR,MATCH(B303,PT_DIFFERENTIATION_NTAR_ID,0))</f>
        <v/>
      </c>
      <c r="H303" s="1787"/>
      <c r="I303" s="1665"/>
      <c r="J303" s="1699"/>
      <c r="K303" s="1704"/>
      <c r="L303" s="1787" t="s">
        <v>313</v>
      </c>
      <c r="M303" s="279"/>
      <c r="N303" s="272"/>
      <c r="O303" s="1551"/>
      <c r="P303" s="1551"/>
      <c r="AH303" s="1558">
        <v>0</v>
      </c>
    </row>
    <row r="304" spans="1:34" s="1562" customFormat="1" ht="18.75" hidden="1" customHeight="1">
      <c r="A304" s="1706"/>
      <c r="B304" s="1706"/>
      <c r="C304" s="306" t="s">
        <v>1154</v>
      </c>
      <c r="D304" s="2637"/>
      <c r="E304" s="2424"/>
      <c r="F304" s="2575"/>
      <c r="G304" s="2612"/>
      <c r="H304" s="1427"/>
      <c r="I304" s="588" t="s">
        <v>1153</v>
      </c>
      <c r="J304" s="508"/>
      <c r="K304" s="1427"/>
      <c r="L304" s="152"/>
      <c r="M304" s="279"/>
      <c r="N304" s="272"/>
      <c r="O304" s="1551"/>
      <c r="P304" s="1551"/>
      <c r="AH304" s="1558">
        <v>0</v>
      </c>
    </row>
    <row r="305" spans="1:34" s="1562" customFormat="1" ht="0.75" hidden="1" customHeight="1">
      <c r="A305" s="1706"/>
      <c r="B305" s="1706"/>
      <c r="C305" s="306" t="s">
        <v>1163</v>
      </c>
      <c r="D305" s="2637"/>
      <c r="E305" s="2424"/>
      <c r="F305" s="2575"/>
      <c r="G305" s="337"/>
      <c r="H305" s="1427"/>
      <c r="I305" s="588"/>
      <c r="J305" s="508"/>
      <c r="K305" s="1427"/>
      <c r="L305" s="152"/>
      <c r="M305" s="279"/>
      <c r="N305" s="272"/>
      <c r="O305" s="1551"/>
      <c r="P305" s="1551"/>
      <c r="AH305" s="1558">
        <v>0</v>
      </c>
    </row>
    <row r="306" spans="1:34" s="1562" customFormat="1" ht="18.75" hidden="1" customHeight="1">
      <c r="A306" s="1706" t="s">
        <v>247</v>
      </c>
      <c r="B306" s="1706" t="s">
        <v>248</v>
      </c>
      <c r="C306" s="306"/>
      <c r="D306" s="2637"/>
      <c r="E306" s="2424"/>
      <c r="F306" s="2575" t="str">
        <f>INDEX(PT_DIFFERENTIATION_VTAR,MATCH(A306,PT_DIFFERENTIATION_VTAR_ID,0))</f>
        <v>Тариф на подвоз воды</v>
      </c>
      <c r="G306" s="2612" t="str">
        <f>INDEX(PT_DIFFERENTIATION_NTAR,MATCH(B306,PT_DIFFERENTIATION_NTAR_ID,0))</f>
        <v/>
      </c>
      <c r="H306" s="1787"/>
      <c r="I306" s="1665"/>
      <c r="J306" s="1699"/>
      <c r="K306" s="1704"/>
      <c r="L306" s="1787" t="s">
        <v>313</v>
      </c>
      <c r="M306" s="279"/>
      <c r="N306" s="272"/>
      <c r="O306" s="1551"/>
      <c r="P306" s="1551"/>
      <c r="AH306" s="1558">
        <v>0</v>
      </c>
    </row>
    <row r="307" spans="1:34" s="1562" customFormat="1" ht="18.75" hidden="1" customHeight="1">
      <c r="A307" s="1706"/>
      <c r="B307" s="1706"/>
      <c r="C307" s="306" t="s">
        <v>1154</v>
      </c>
      <c r="D307" s="2637"/>
      <c r="E307" s="2424"/>
      <c r="F307" s="2575"/>
      <c r="G307" s="2612"/>
      <c r="H307" s="1427"/>
      <c r="I307" s="588" t="s">
        <v>1153</v>
      </c>
      <c r="J307" s="508"/>
      <c r="K307" s="1427"/>
      <c r="L307" s="152"/>
      <c r="M307" s="279"/>
      <c r="N307" s="272"/>
      <c r="O307" s="1551"/>
      <c r="P307" s="1551"/>
      <c r="AH307" s="1558">
        <v>0</v>
      </c>
    </row>
    <row r="308" spans="1:34" s="1562" customFormat="1" ht="0.75" hidden="1" customHeight="1">
      <c r="A308" s="1706"/>
      <c r="B308" s="1706"/>
      <c r="C308" s="306" t="s">
        <v>1163</v>
      </c>
      <c r="D308" s="2637"/>
      <c r="E308" s="2424"/>
      <c r="F308" s="2575"/>
      <c r="G308" s="337"/>
      <c r="H308" s="1427"/>
      <c r="I308" s="588"/>
      <c r="J308" s="508"/>
      <c r="K308" s="1427"/>
      <c r="L308" s="152"/>
      <c r="M308" s="279"/>
      <c r="N308" s="272"/>
      <c r="O308" s="1551"/>
      <c r="P308" s="1551"/>
      <c r="AH308" s="1558">
        <v>0</v>
      </c>
    </row>
    <row r="309" spans="1:34" s="1562" customFormat="1" ht="18.75" hidden="1" customHeight="1">
      <c r="A309" s="1706" t="s">
        <v>252</v>
      </c>
      <c r="B309" s="1706" t="s">
        <v>253</v>
      </c>
      <c r="C309" s="306"/>
      <c r="D309" s="2637"/>
      <c r="E309" s="2424"/>
      <c r="F309" s="257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12" t="str">
        <f>INDEX(PT_DIFFERENTIATION_NTAR,MATCH(B309,PT_DIFFERENTIATION_NTAR_ID,0))</f>
        <v/>
      </c>
      <c r="H309" s="1787"/>
      <c r="I309" s="1665"/>
      <c r="J309" s="1699"/>
      <c r="K309" s="1704"/>
      <c r="L309" s="1787" t="s">
        <v>313</v>
      </c>
      <c r="M309" s="279"/>
      <c r="N309" s="272"/>
      <c r="O309" s="1551"/>
      <c r="P309" s="1551"/>
      <c r="AH309" s="1558">
        <v>0</v>
      </c>
    </row>
    <row r="310" spans="1:34" s="1562" customFormat="1" ht="18.75" hidden="1" customHeight="1">
      <c r="A310" s="1706"/>
      <c r="B310" s="1706"/>
      <c r="C310" s="306" t="s">
        <v>1154</v>
      </c>
      <c r="D310" s="2637"/>
      <c r="E310" s="2424"/>
      <c r="F310" s="2575"/>
      <c r="G310" s="2612"/>
      <c r="H310" s="1427"/>
      <c r="I310" s="588" t="s">
        <v>1153</v>
      </c>
      <c r="J310" s="508"/>
      <c r="K310" s="1427"/>
      <c r="L310" s="152"/>
      <c r="M310" s="279"/>
      <c r="N310" s="272"/>
      <c r="O310" s="1551"/>
      <c r="P310" s="1551"/>
      <c r="AH310" s="1558">
        <v>0</v>
      </c>
    </row>
    <row r="311" spans="1:34" s="1562" customFormat="1" ht="0.75" hidden="1" customHeight="1">
      <c r="A311" s="1706"/>
      <c r="B311" s="1706"/>
      <c r="C311" s="306" t="s">
        <v>1163</v>
      </c>
      <c r="D311" s="2637"/>
      <c r="E311" s="2424"/>
      <c r="F311" s="2575"/>
      <c r="G311" s="337"/>
      <c r="H311" s="1427"/>
      <c r="I311" s="588"/>
      <c r="J311" s="508"/>
      <c r="K311" s="1427"/>
      <c r="L311" s="152"/>
      <c r="M311" s="279"/>
      <c r="N311" s="272"/>
      <c r="O311" s="1551"/>
      <c r="P311" s="1551"/>
      <c r="AH311" s="1558">
        <v>0</v>
      </c>
    </row>
    <row r="312" spans="1:34" s="1562" customFormat="1" ht="18.75" hidden="1" customHeight="1">
      <c r="A312" s="1706" t="s">
        <v>257</v>
      </c>
      <c r="B312" s="1706" t="s">
        <v>258</v>
      </c>
      <c r="C312" s="306"/>
      <c r="D312" s="2637"/>
      <c r="E312" s="2424"/>
      <c r="F312" s="2575" t="str">
        <f>INDEX(PT_DIFFERENTIATION_VTAR,MATCH(A312,PT_DIFFERENTIATION_VTAR_ID,0))</f>
        <v>Тариф на горячую воду (горячее водоснабжение)</v>
      </c>
      <c r="G312" s="2612" t="str">
        <f>INDEX(PT_DIFFERENTIATION_NTAR,MATCH(B312,PT_DIFFERENTIATION_NTAR_ID,0))</f>
        <v/>
      </c>
      <c r="H312" s="1787"/>
      <c r="I312" s="1665"/>
      <c r="J312" s="1699"/>
      <c r="K312" s="1704"/>
      <c r="L312" s="1787" t="s">
        <v>313</v>
      </c>
      <c r="M312" s="279"/>
      <c r="N312" s="272"/>
      <c r="O312" s="1551"/>
      <c r="P312" s="1551"/>
      <c r="AH312" s="1558">
        <v>0</v>
      </c>
    </row>
    <row r="313" spans="1:34" s="1562" customFormat="1" ht="18.75" hidden="1" customHeight="1">
      <c r="A313" s="1706"/>
      <c r="B313" s="1706"/>
      <c r="C313" s="306" t="s">
        <v>1154</v>
      </c>
      <c r="D313" s="2637"/>
      <c r="E313" s="2424"/>
      <c r="F313" s="2575"/>
      <c r="G313" s="2612"/>
      <c r="H313" s="1427"/>
      <c r="I313" s="588" t="s">
        <v>1153</v>
      </c>
      <c r="J313" s="508"/>
      <c r="K313" s="1427"/>
      <c r="L313" s="152"/>
      <c r="M313" s="279"/>
      <c r="N313" s="272"/>
      <c r="O313" s="1551"/>
      <c r="P313" s="1551"/>
      <c r="AH313" s="1558">
        <v>0</v>
      </c>
    </row>
    <row r="314" spans="1:34" s="1562" customFormat="1" ht="0.75" hidden="1" customHeight="1">
      <c r="A314" s="1706"/>
      <c r="B314" s="1706"/>
      <c r="C314" s="306" t="s">
        <v>1163</v>
      </c>
      <c r="D314" s="2637"/>
      <c r="E314" s="2424"/>
      <c r="F314" s="2575"/>
      <c r="G314" s="337"/>
      <c r="H314" s="1427"/>
      <c r="I314" s="588"/>
      <c r="J314" s="508"/>
      <c r="K314" s="1427"/>
      <c r="L314" s="152"/>
      <c r="M314" s="279"/>
      <c r="N314" s="272"/>
      <c r="O314" s="1551"/>
      <c r="P314" s="1551"/>
      <c r="AH314" s="1558">
        <v>0</v>
      </c>
    </row>
    <row r="315" spans="1:34" s="1562" customFormat="1" ht="18.75" hidden="1" customHeight="1">
      <c r="A315" s="1706" t="s">
        <v>262</v>
      </c>
      <c r="B315" s="1706" t="s">
        <v>263</v>
      </c>
      <c r="C315" s="306"/>
      <c r="D315" s="2637"/>
      <c r="E315" s="2424"/>
      <c r="F315" s="2575" t="str">
        <f>INDEX(PT_DIFFERENTIATION_VTAR,MATCH(A315,PT_DIFFERENTIATION_VTAR_ID,0))</f>
        <v>Тариф на транспортировку горячей воды</v>
      </c>
      <c r="G315" s="2612" t="str">
        <f>INDEX(PT_DIFFERENTIATION_NTAR,MATCH(B315,PT_DIFFERENTIATION_NTAR_ID,0))</f>
        <v/>
      </c>
      <c r="H315" s="1787"/>
      <c r="I315" s="1665"/>
      <c r="J315" s="1699"/>
      <c r="K315" s="1704"/>
      <c r="L315" s="1787" t="s">
        <v>313</v>
      </c>
      <c r="M315" s="279"/>
      <c r="N315" s="272"/>
      <c r="O315" s="1551"/>
      <c r="P315" s="1551"/>
      <c r="AH315" s="1558">
        <v>0</v>
      </c>
    </row>
    <row r="316" spans="1:34" s="1562" customFormat="1" ht="18.75" hidden="1" customHeight="1">
      <c r="A316" s="1706"/>
      <c r="B316" s="1706"/>
      <c r="C316" s="306" t="s">
        <v>1154</v>
      </c>
      <c r="D316" s="2637"/>
      <c r="E316" s="2424"/>
      <c r="F316" s="2575"/>
      <c r="G316" s="2612"/>
      <c r="H316" s="1427"/>
      <c r="I316" s="588" t="s">
        <v>1153</v>
      </c>
      <c r="J316" s="508"/>
      <c r="K316" s="1427"/>
      <c r="L316" s="152"/>
      <c r="M316" s="279"/>
      <c r="N316" s="272"/>
      <c r="O316" s="1551"/>
      <c r="P316" s="1551"/>
      <c r="AH316" s="1558">
        <v>0</v>
      </c>
    </row>
    <row r="317" spans="1:34" s="1562" customFormat="1" ht="0.75" hidden="1" customHeight="1">
      <c r="A317" s="1706"/>
      <c r="B317" s="1706"/>
      <c r="C317" s="306" t="s">
        <v>1163</v>
      </c>
      <c r="D317" s="2637"/>
      <c r="E317" s="2424"/>
      <c r="F317" s="2575"/>
      <c r="G317" s="337"/>
      <c r="H317" s="1427"/>
      <c r="I317" s="588"/>
      <c r="J317" s="508"/>
      <c r="K317" s="1427"/>
      <c r="L317" s="152"/>
      <c r="M317" s="279"/>
      <c r="N317" s="272"/>
      <c r="O317" s="1551"/>
      <c r="P317" s="1551"/>
      <c r="AH317" s="1558">
        <v>0</v>
      </c>
    </row>
    <row r="318" spans="1:34" s="1562" customFormat="1" ht="18.75" hidden="1" customHeight="1">
      <c r="A318" s="1706" t="s">
        <v>267</v>
      </c>
      <c r="B318" s="1706" t="s">
        <v>268</v>
      </c>
      <c r="C318" s="306"/>
      <c r="D318" s="2637"/>
      <c r="E318" s="2424"/>
      <c r="F318" s="257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12" t="str">
        <f>INDEX(PT_DIFFERENTIATION_NTAR,MATCH(B318,PT_DIFFERENTIATION_NTAR_ID,0))</f>
        <v/>
      </c>
      <c r="H318" s="1787"/>
      <c r="I318" s="1665"/>
      <c r="J318" s="1699"/>
      <c r="K318" s="1704"/>
      <c r="L318" s="1787" t="s">
        <v>313</v>
      </c>
      <c r="M318" s="279"/>
      <c r="N318" s="272"/>
      <c r="O318" s="1551"/>
      <c r="P318" s="1551"/>
      <c r="AH318" s="1558">
        <v>0</v>
      </c>
    </row>
    <row r="319" spans="1:34" s="1562" customFormat="1" ht="18.75" hidden="1" customHeight="1">
      <c r="A319" s="1706"/>
      <c r="B319" s="1706"/>
      <c r="C319" s="306" t="s">
        <v>1154</v>
      </c>
      <c r="D319" s="2637"/>
      <c r="E319" s="2424"/>
      <c r="F319" s="2575"/>
      <c r="G319" s="2612"/>
      <c r="H319" s="1427"/>
      <c r="I319" s="588" t="s">
        <v>1153</v>
      </c>
      <c r="J319" s="508"/>
      <c r="K319" s="1427"/>
      <c r="L319" s="152"/>
      <c r="M319" s="279"/>
      <c r="N319" s="272"/>
      <c r="O319" s="1551"/>
      <c r="P319" s="1551"/>
      <c r="AH319" s="1558">
        <v>0</v>
      </c>
    </row>
    <row r="320" spans="1:34" s="1562" customFormat="1" ht="0.75" hidden="1" customHeight="1">
      <c r="A320" s="1706"/>
      <c r="B320" s="1706"/>
      <c r="C320" s="306" t="s">
        <v>1163</v>
      </c>
      <c r="D320" s="2637"/>
      <c r="E320" s="2424"/>
      <c r="F320" s="2575"/>
      <c r="G320" s="337"/>
      <c r="H320" s="1427"/>
      <c r="I320" s="588"/>
      <c r="J320" s="508"/>
      <c r="K320" s="1427"/>
      <c r="L320" s="152"/>
      <c r="M320" s="279"/>
      <c r="N320" s="272"/>
      <c r="O320" s="1551"/>
      <c r="P320" s="1551"/>
      <c r="AH320" s="1558">
        <v>0</v>
      </c>
    </row>
    <row r="321" spans="1:34" s="1562" customFormat="1" ht="18.75" hidden="1" customHeight="1">
      <c r="A321" s="1706" t="s">
        <v>272</v>
      </c>
      <c r="B321" s="1706" t="s">
        <v>273</v>
      </c>
      <c r="C321" s="306"/>
      <c r="D321" s="2637"/>
      <c r="E321" s="2424"/>
      <c r="F321" s="2575" t="str">
        <f>INDEX(PT_DIFFERENTIATION_VTAR,MATCH(A321,PT_DIFFERENTIATION_VTAR_ID,0))</f>
        <v>Тариф на водоотведение</v>
      </c>
      <c r="G321" s="2612" t="str">
        <f>INDEX(PT_DIFFERENTIATION_NTAR,MATCH(B321,PT_DIFFERENTIATION_NTAR_ID,0))</f>
        <v/>
      </c>
      <c r="H321" s="1787"/>
      <c r="I321" s="1665"/>
      <c r="J321" s="1699"/>
      <c r="K321" s="1704"/>
      <c r="L321" s="1787" t="s">
        <v>313</v>
      </c>
      <c r="M321" s="279"/>
      <c r="N321" s="272"/>
      <c r="O321" s="1551"/>
      <c r="P321" s="1551"/>
      <c r="AH321" s="1558">
        <v>0</v>
      </c>
    </row>
    <row r="322" spans="1:34" s="1562" customFormat="1" ht="18.75" hidden="1" customHeight="1">
      <c r="A322" s="1706"/>
      <c r="B322" s="1706"/>
      <c r="C322" s="306" t="s">
        <v>1154</v>
      </c>
      <c r="D322" s="2637"/>
      <c r="E322" s="2424"/>
      <c r="F322" s="2575"/>
      <c r="G322" s="2612"/>
      <c r="H322" s="1427"/>
      <c r="I322" s="588" t="s">
        <v>1153</v>
      </c>
      <c r="J322" s="508"/>
      <c r="K322" s="1427"/>
      <c r="L322" s="152"/>
      <c r="M322" s="279"/>
      <c r="N322" s="272"/>
      <c r="O322" s="1551"/>
      <c r="P322" s="1551"/>
      <c r="AH322" s="1558">
        <v>0</v>
      </c>
    </row>
    <row r="323" spans="1:34" s="1562" customFormat="1" ht="0.75" hidden="1" customHeight="1">
      <c r="A323" s="1706"/>
      <c r="B323" s="1706"/>
      <c r="C323" s="306" t="s">
        <v>1163</v>
      </c>
      <c r="D323" s="2637"/>
      <c r="E323" s="2424"/>
      <c r="F323" s="2575"/>
      <c r="G323" s="337"/>
      <c r="H323" s="1427"/>
      <c r="I323" s="588"/>
      <c r="J323" s="508"/>
      <c r="K323" s="1427"/>
      <c r="L323" s="152"/>
      <c r="M323" s="279"/>
      <c r="N323" s="272"/>
      <c r="O323" s="1551"/>
      <c r="P323" s="1551"/>
      <c r="AH323" s="1558">
        <v>0</v>
      </c>
    </row>
    <row r="324" spans="1:34" s="1562" customFormat="1" ht="18.75" hidden="1" customHeight="1">
      <c r="A324" s="1706" t="s">
        <v>277</v>
      </c>
      <c r="B324" s="1706" t="s">
        <v>278</v>
      </c>
      <c r="C324" s="306"/>
      <c r="D324" s="2637"/>
      <c r="E324" s="2424"/>
      <c r="F324" s="2575" t="str">
        <f>INDEX(PT_DIFFERENTIATION_VTAR,MATCH(A324,PT_DIFFERENTIATION_VTAR_ID,0))</f>
        <v>Тариф на транспортировку сточных вод</v>
      </c>
      <c r="G324" s="2612" t="str">
        <f>INDEX(PT_DIFFERENTIATION_NTAR,MATCH(B324,PT_DIFFERENTIATION_NTAR_ID,0))</f>
        <v/>
      </c>
      <c r="H324" s="1787"/>
      <c r="I324" s="1665"/>
      <c r="J324" s="1699"/>
      <c r="K324" s="1704"/>
      <c r="L324" s="1787" t="s">
        <v>313</v>
      </c>
      <c r="M324" s="279"/>
      <c r="N324" s="272"/>
      <c r="O324" s="1551"/>
      <c r="P324" s="1551"/>
      <c r="AH324" s="1558">
        <v>0</v>
      </c>
    </row>
    <row r="325" spans="1:34" s="1562" customFormat="1" ht="18.75" hidden="1" customHeight="1">
      <c r="A325" s="1706"/>
      <c r="B325" s="1706"/>
      <c r="C325" s="306" t="s">
        <v>1154</v>
      </c>
      <c r="D325" s="2637"/>
      <c r="E325" s="2424"/>
      <c r="F325" s="2575"/>
      <c r="G325" s="2612"/>
      <c r="H325" s="1427"/>
      <c r="I325" s="588" t="s">
        <v>1153</v>
      </c>
      <c r="J325" s="508"/>
      <c r="K325" s="1427"/>
      <c r="L325" s="152"/>
      <c r="M325" s="279"/>
      <c r="N325" s="272"/>
      <c r="O325" s="1551"/>
      <c r="P325" s="1551"/>
      <c r="AH325" s="1558">
        <v>0</v>
      </c>
    </row>
    <row r="326" spans="1:34" s="1562" customFormat="1" ht="0.75" hidden="1" customHeight="1">
      <c r="A326" s="1706"/>
      <c r="B326" s="1706"/>
      <c r="C326" s="306" t="s">
        <v>1163</v>
      </c>
      <c r="D326" s="2637"/>
      <c r="E326" s="2424"/>
      <c r="F326" s="2575"/>
      <c r="G326" s="337"/>
      <c r="H326" s="1427"/>
      <c r="I326" s="588"/>
      <c r="J326" s="508"/>
      <c r="K326" s="1427"/>
      <c r="L326" s="152"/>
      <c r="M326" s="279"/>
      <c r="N326" s="272"/>
      <c r="O326" s="1551"/>
      <c r="P326" s="1551"/>
      <c r="AH326" s="1558">
        <v>0</v>
      </c>
    </row>
    <row r="327" spans="1:34" s="1562" customFormat="1" ht="18.75" hidden="1" customHeight="1">
      <c r="A327" s="1706" t="s">
        <v>282</v>
      </c>
      <c r="B327" s="1706" t="s">
        <v>283</v>
      </c>
      <c r="C327" s="306"/>
      <c r="D327" s="2637"/>
      <c r="E327" s="2424"/>
      <c r="F327" s="2575" t="str">
        <f>INDEX(PT_DIFFERENTIATION_VTAR,MATCH(A327,PT_DIFFERENTIATION_VTAR_ID,0))</f>
        <v>Тариф на подключение (технологическое присоединение) к централизованной системе водоотведения</v>
      </c>
      <c r="G327" s="2612" t="str">
        <f>INDEX(PT_DIFFERENTIATION_NTAR,MATCH(B327,PT_DIFFERENTIATION_NTAR_ID,0))</f>
        <v/>
      </c>
      <c r="H327" s="1787"/>
      <c r="I327" s="1665"/>
      <c r="J327" s="1699"/>
      <c r="K327" s="1704"/>
      <c r="L327" s="1787" t="s">
        <v>313</v>
      </c>
      <c r="M327" s="279"/>
      <c r="N327" s="272"/>
      <c r="O327" s="1551"/>
      <c r="P327" s="1551"/>
      <c r="AH327" s="1558">
        <v>0</v>
      </c>
    </row>
    <row r="328" spans="1:34" s="1562" customFormat="1" ht="18.75" hidden="1" customHeight="1">
      <c r="A328" s="1706"/>
      <c r="B328" s="1706"/>
      <c r="C328" s="306" t="s">
        <v>1154</v>
      </c>
      <c r="D328" s="2637"/>
      <c r="E328" s="2424"/>
      <c r="F328" s="2575"/>
      <c r="G328" s="2612"/>
      <c r="H328" s="1427"/>
      <c r="I328" s="588" t="s">
        <v>1153</v>
      </c>
      <c r="J328" s="508"/>
      <c r="K328" s="1427"/>
      <c r="L328" s="152"/>
      <c r="M328" s="279"/>
      <c r="N328" s="272"/>
      <c r="O328" s="1551"/>
      <c r="P328" s="1551"/>
      <c r="AH328" s="1558">
        <v>0</v>
      </c>
    </row>
    <row r="329" spans="1:34" s="1562" customFormat="1" ht="1.1499999999999999" customHeight="1">
      <c r="A329" s="1706"/>
      <c r="B329" s="1706"/>
      <c r="C329" s="306" t="s">
        <v>1163</v>
      </c>
      <c r="D329" s="2637"/>
      <c r="E329" s="2424"/>
      <c r="F329" s="2575"/>
      <c r="G329" s="337"/>
      <c r="H329" s="1427"/>
      <c r="I329" s="588"/>
      <c r="J329" s="508"/>
      <c r="K329" s="1427"/>
      <c r="L329" s="152"/>
      <c r="M329" s="279"/>
      <c r="N329" s="272"/>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467"/>
      <c r="G331" s="2467"/>
      <c r="H331" s="2467"/>
      <c r="I331" s="2467"/>
      <c r="J331" s="2467"/>
      <c r="K331" s="2467"/>
      <c r="L331" s="2467"/>
      <c r="M331" s="2467"/>
      <c r="AH331" s="311">
        <v>25</v>
      </c>
    </row>
    <row r="332" spans="1:34" ht="14.25" hidden="1" customHeight="1">
      <c r="A332" s="1705" t="s">
        <v>83</v>
      </c>
      <c r="B332" s="1705">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hyperlinks>
    <hyperlink ref="L85" r:id="rId1" xr:uid="{A7844078-5EFA-6AD9-3EEC-3ACABE6EA316}"/>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A3E6F-C6B5-9611-9F9C-F32015D8CE16}">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F13" sqref="F13"/>
    </sheetView>
  </sheetViews>
  <sheetFormatPr defaultColWidth="10.5703125" defaultRowHeight="14.25" customHeight="1"/>
  <cols>
    <col min="1" max="1" width="9.140625" style="2008"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452</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38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85"/>
      <c r="F5" s="2385"/>
      <c r="G5" s="2386"/>
      <c r="H5" s="204"/>
      <c r="R5" s="311">
        <v>33</v>
      </c>
    </row>
    <row r="6" spans="1:18" s="1562" customFormat="1" ht="18" customHeight="1">
      <c r="A6" s="1596"/>
      <c r="B6" s="1087"/>
      <c r="C6" s="313"/>
      <c r="D6" s="2443" t="str">
        <f>IF(org=0,"Не определено",org)</f>
        <v>МУП "Городские тепловые сети" МО  "город Курчатов"</v>
      </c>
      <c r="E6" s="2444"/>
      <c r="F6" s="2444"/>
      <c r="G6" s="2445"/>
      <c r="H6" s="204"/>
      <c r="J6" s="1551"/>
      <c r="K6" s="1551"/>
      <c r="R6" s="1558">
        <v>17</v>
      </c>
    </row>
    <row r="7" spans="1:18" ht="14.65" customHeight="1">
      <c r="C7" s="313"/>
      <c r="D7" s="300"/>
      <c r="E7" s="326"/>
      <c r="F7" s="326"/>
      <c r="G7" s="689"/>
      <c r="H7" s="131"/>
      <c r="R7" s="311">
        <v>14</v>
      </c>
    </row>
    <row r="8" spans="1:18" ht="14.65" customHeight="1">
      <c r="C8" s="313"/>
      <c r="D8" s="2429" t="s">
        <v>307</v>
      </c>
      <c r="E8" s="2429"/>
      <c r="F8" s="2429"/>
      <c r="G8" s="2429"/>
      <c r="H8" s="2585" t="s">
        <v>308</v>
      </c>
      <c r="R8" s="311">
        <v>14</v>
      </c>
    </row>
    <row r="9" spans="1:18" ht="24" customHeight="1">
      <c r="C9" s="313"/>
      <c r="D9" s="323" t="s">
        <v>89</v>
      </c>
      <c r="E9" s="48" t="s">
        <v>309</v>
      </c>
      <c r="F9" s="48" t="s">
        <v>310</v>
      </c>
      <c r="G9" s="48" t="s">
        <v>397</v>
      </c>
      <c r="H9" s="2585"/>
      <c r="R9" s="311">
        <v>23</v>
      </c>
    </row>
    <row r="10" spans="1:18" ht="45.75" customHeight="1">
      <c r="A10" s="281"/>
      <c r="C10" s="313"/>
      <c r="D10" s="85" t="s">
        <v>110</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t="s">
        <v>1164</v>
      </c>
      <c r="G10" s="2271" t="s">
        <v>1165</v>
      </c>
      <c r="H10" s="2378" t="s">
        <v>1166</v>
      </c>
      <c r="R10" s="311">
        <v>14</v>
      </c>
    </row>
    <row r="11" spans="1:18" ht="46.5" customHeight="1">
      <c r="A11" s="281"/>
      <c r="C11" s="313"/>
      <c r="D11" s="85" t="s">
        <v>111</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t="s">
        <v>1167</v>
      </c>
      <c r="G11" s="151" t="s">
        <v>1168</v>
      </c>
      <c r="H11" s="2379"/>
      <c r="R11" s="311">
        <v>14</v>
      </c>
    </row>
    <row r="12" spans="1:18" ht="42.75" customHeight="1">
      <c r="A12" s="42"/>
      <c r="C12" s="324"/>
      <c r="D12" s="85" t="s">
        <v>91</v>
      </c>
      <c r="E12" s="325" t="str">
        <f>"Сведения о планировании закупочных процедур"&amp;IF(TEMPLATE_SPHERE="TKO"," &lt;1&gt;","")</f>
        <v>Сведения о планировании закупочных процедур</v>
      </c>
      <c r="F12" s="195" t="s">
        <v>1169</v>
      </c>
      <c r="G12" s="2271" t="s">
        <v>1170</v>
      </c>
      <c r="H12" s="237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63.4" customHeight="1">
      <c r="A13" s="42"/>
      <c r="C13" s="324"/>
      <c r="D13" s="85" t="s">
        <v>92</v>
      </c>
      <c r="E13" s="325" t="str">
        <f>"Сведения о результатах проведения закупочных процедур"&amp;IF(TEMPLATE_SPHERE="TKO"," &lt;1&gt;","")</f>
        <v>Сведения о результатах проведения закупочных процедур</v>
      </c>
      <c r="F13" s="195" t="s">
        <v>1171</v>
      </c>
      <c r="G13" s="2271" t="s">
        <v>1170</v>
      </c>
      <c r="H13" s="2379"/>
      <c r="I13" s="287"/>
      <c r="K13" s="311"/>
      <c r="R13" s="311">
        <v>14</v>
      </c>
    </row>
    <row r="14" spans="1:18" ht="14.65" customHeight="1">
      <c r="A14" s="281"/>
      <c r="C14" s="313"/>
      <c r="D14" s="285"/>
      <c r="E14" s="332" t="s">
        <v>329</v>
      </c>
      <c r="F14" s="286"/>
      <c r="G14" s="139"/>
      <c r="H14" s="2380"/>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467"/>
      <c r="F16" s="2467"/>
      <c r="G16" s="2467"/>
      <c r="H16" s="2467"/>
      <c r="R16" s="311">
        <v>14</v>
      </c>
    </row>
    <row r="17" spans="1:18" ht="22.5" hidden="1" customHeight="1">
      <c r="A17" s="301" t="s">
        <v>83</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hyperlinks>
    <hyperlink ref="G10" r:id="rId1" xr:uid="{438CC01A-96E5-CEE9-0F29-298BA5A5F0A6}"/>
    <hyperlink ref="G12" r:id="rId2" xr:uid="{53C25ED3-415B-280B-3C91-D4A30FCDDB01}"/>
    <hyperlink ref="G13" r:id="rId3" xr:uid="{F4DA7359-2A54-A177-3F9A-9D3ABB6416F7}"/>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4"/>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43A39-F821-323F-E143-BFCDE60F6FAB}">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449" t="s">
        <v>1172</v>
      </c>
      <c r="E5" s="2449"/>
      <c r="F5" s="2449"/>
      <c r="G5" s="2449"/>
      <c r="H5" s="2449"/>
      <c r="I5" s="2449"/>
      <c r="J5" s="2449"/>
      <c r="V5" s="442">
        <v>63</v>
      </c>
    </row>
    <row r="6" spans="1:22" ht="15.75" customHeight="1">
      <c r="C6" s="114"/>
      <c r="D6" s="2421" t="str">
        <f>IF(org=0,"Не определено",org)</f>
        <v>МУП "Городские тепловые сети" МО  "город Курчатов"</v>
      </c>
      <c r="E6" s="2421"/>
      <c r="F6" s="2421"/>
      <c r="G6" s="2421"/>
      <c r="H6" s="2421"/>
      <c r="I6" s="2421"/>
      <c r="J6" s="2421"/>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118</v>
      </c>
      <c r="J8" s="689"/>
      <c r="K8" s="354"/>
      <c r="U8" s="612"/>
      <c r="V8" s="693">
        <v>1</v>
      </c>
    </row>
    <row r="9" spans="1:22" ht="15.75" customHeight="1">
      <c r="C9" s="114"/>
      <c r="D9" s="648"/>
      <c r="E9" s="2568" t="s">
        <v>106</v>
      </c>
      <c r="F9" s="2569"/>
      <c r="G9" s="2593" t="str">
        <f>IF(G8="","",INDEX(DIFFERENTIATION_UNMERGE_VD,MATCH(G8,DIFFERENTIATION_ID_DIFF,0)))</f>
        <v/>
      </c>
      <c r="H9" s="2594"/>
      <c r="I9" s="2593">
        <f>IF(I8="","",INDEX(DIFFERENTIATION_UNMERGE_VD,MATCH(I8,DIFFERENTIATION_ID_DIFF,0)))</f>
        <v>0</v>
      </c>
      <c r="J9" s="2594"/>
      <c r="K9" s="2401" t="s">
        <v>308</v>
      </c>
      <c r="V9" s="442">
        <v>15</v>
      </c>
    </row>
    <row r="10" spans="1:22" s="1562" customFormat="1" ht="15.75" customHeight="1">
      <c r="A10" s="694"/>
      <c r="C10" s="114"/>
      <c r="D10" s="648"/>
      <c r="E10" s="2568" t="s">
        <v>573</v>
      </c>
      <c r="F10" s="2569"/>
      <c r="G10" s="2593" t="str">
        <f>IF(G8="","",INDEX(DIFFERENTIATION_UNMERGE_AREA,MATCH(G8,DIFFERENTIATION_ID_DIFF,0)))</f>
        <v/>
      </c>
      <c r="H10" s="2594"/>
      <c r="I10" s="2593" t="str">
        <f>IF(I8="","",INDEX(DIFFERENTIATION_UNMERGE_AREA,MATCH(I8,DIFFERENTIATION_ID_DIFF,0)))</f>
        <v/>
      </c>
      <c r="J10" s="2594"/>
      <c r="K10" s="2406"/>
      <c r="U10" s="612"/>
      <c r="V10" s="693">
        <v>15</v>
      </c>
    </row>
    <row r="11" spans="1:22" s="1562" customFormat="1" ht="15.75" customHeight="1">
      <c r="A11" s="694"/>
      <c r="C11" s="114"/>
      <c r="D11" s="648"/>
      <c r="E11" s="2568" t="s">
        <v>574</v>
      </c>
      <c r="F11" s="2569"/>
      <c r="G11" s="2593" t="str">
        <f>IF(G8="","",INDEX(DIFFERENTIATION_UNMERGE_SYSTEM,MATCH(G8,DIFFERENTIATION_ID_DIFF,0)))</f>
        <v/>
      </c>
      <c r="H11" s="2594"/>
      <c r="I11" s="2593" t="str">
        <f>IF(I8="","",INDEX(DIFFERENTIATION_UNMERGE_SYSTEM,MATCH(I8,DIFFERENTIATION_ID_DIFF,0)))</f>
        <v>без дифференциации</v>
      </c>
      <c r="J11" s="2594"/>
      <c r="K11" s="2406"/>
      <c r="U11" s="612"/>
      <c r="V11" s="693">
        <v>15</v>
      </c>
    </row>
    <row r="12" spans="1:22" s="1562" customFormat="1" ht="15.75" customHeight="1">
      <c r="A12" s="694"/>
      <c r="C12" s="114"/>
      <c r="D12" s="2570" t="s">
        <v>307</v>
      </c>
      <c r="E12" s="2571"/>
      <c r="F12" s="2571"/>
      <c r="G12" s="817"/>
      <c r="H12" s="817"/>
      <c r="I12" s="817"/>
      <c r="J12" s="817"/>
      <c r="K12" s="2406"/>
      <c r="U12" s="612"/>
      <c r="V12" s="693">
        <v>15</v>
      </c>
    </row>
    <row r="13" spans="1:22" ht="35.65" customHeight="1">
      <c r="C13" s="114"/>
      <c r="D13" s="736" t="s">
        <v>89</v>
      </c>
      <c r="E13" s="738" t="s">
        <v>309</v>
      </c>
      <c r="F13" s="738" t="s">
        <v>575</v>
      </c>
      <c r="G13" s="739" t="s">
        <v>310</v>
      </c>
      <c r="H13" s="738" t="s">
        <v>397</v>
      </c>
      <c r="I13" s="739" t="s">
        <v>310</v>
      </c>
      <c r="J13" s="738" t="s">
        <v>397</v>
      </c>
      <c r="K13" s="2454"/>
      <c r="V13" s="442">
        <v>34</v>
      </c>
    </row>
    <row r="14" spans="1:22" ht="15" hidden="1" customHeight="1">
      <c r="C14" s="114"/>
      <c r="D14" s="530" t="s">
        <v>110</v>
      </c>
      <c r="E14" s="530" t="s">
        <v>111</v>
      </c>
      <c r="F14" s="530" t="s">
        <v>91</v>
      </c>
      <c r="G14" s="596" t="str">
        <f>G1&amp;".1"</f>
        <v>4.1</v>
      </c>
      <c r="H14" s="596"/>
      <c r="I14" s="596" t="str">
        <f>I1&amp;".1"</f>
        <v>4.1</v>
      </c>
      <c r="J14" s="596"/>
      <c r="K14" s="227"/>
      <c r="V14" s="442">
        <v>0</v>
      </c>
    </row>
    <row r="15" spans="1:22" ht="22.5" hidden="1" customHeight="1">
      <c r="A15" s="442"/>
      <c r="C15" s="463"/>
      <c r="D15" s="458">
        <v>1</v>
      </c>
      <c r="E15" s="614" t="s">
        <v>817</v>
      </c>
      <c r="F15" s="458" t="s">
        <v>818</v>
      </c>
      <c r="G15" s="615"/>
      <c r="H15" s="615"/>
      <c r="I15" s="615"/>
      <c r="J15" s="615"/>
      <c r="K15" s="227" t="s">
        <v>819</v>
      </c>
      <c r="V15" s="442">
        <v>0</v>
      </c>
    </row>
    <row r="16" spans="1:22" ht="22.5" hidden="1" customHeight="1">
      <c r="A16" s="442"/>
      <c r="C16" s="463"/>
      <c r="D16" s="458">
        <v>2</v>
      </c>
      <c r="E16" s="217" t="s">
        <v>820</v>
      </c>
      <c r="F16" s="458" t="s">
        <v>821</v>
      </c>
      <c r="G16" s="615"/>
      <c r="H16" s="615"/>
      <c r="I16" s="615"/>
      <c r="J16" s="615"/>
      <c r="K16" s="227" t="s">
        <v>822</v>
      </c>
      <c r="V16" s="442">
        <v>0</v>
      </c>
    </row>
    <row r="17" spans="1:22" ht="123.75" hidden="1" customHeight="1">
      <c r="A17" s="442"/>
      <c r="C17" s="463"/>
      <c r="D17" s="458">
        <v>3</v>
      </c>
      <c r="E17" s="217" t="s">
        <v>1173</v>
      </c>
      <c r="F17" s="458" t="s">
        <v>313</v>
      </c>
      <c r="G17" s="615"/>
      <c r="H17" s="615"/>
      <c r="I17" s="615"/>
      <c r="J17" s="615"/>
      <c r="K17" s="227" t="s">
        <v>1174</v>
      </c>
      <c r="V17" s="442">
        <v>0</v>
      </c>
    </row>
    <row r="18" spans="1:22" ht="48.2" customHeight="1">
      <c r="A18" s="442"/>
      <c r="C18" s="463"/>
      <c r="D18" s="458">
        <v>3</v>
      </c>
      <c r="E18" s="217" t="s">
        <v>823</v>
      </c>
      <c r="F18" s="458" t="s">
        <v>313</v>
      </c>
      <c r="G18" s="740" t="s">
        <v>313</v>
      </c>
      <c r="H18" s="741" t="s">
        <v>313</v>
      </c>
      <c r="I18" s="458" t="s">
        <v>313</v>
      </c>
      <c r="J18" s="515" t="s">
        <v>313</v>
      </c>
      <c r="K18" s="227" t="s">
        <v>1175</v>
      </c>
      <c r="V18" s="442">
        <v>46</v>
      </c>
    </row>
    <row r="19" spans="1:22" ht="35.65" customHeight="1">
      <c r="A19" s="442"/>
      <c r="C19" s="463"/>
      <c r="D19" s="476" t="s">
        <v>331</v>
      </c>
      <c r="E19" s="496" t="s">
        <v>825</v>
      </c>
      <c r="F19" s="458" t="s">
        <v>826</v>
      </c>
      <c r="G19" s="748"/>
      <c r="H19" s="46"/>
      <c r="I19" s="748"/>
      <c r="J19" s="749"/>
      <c r="K19" s="616"/>
      <c r="V19" s="442">
        <v>34</v>
      </c>
    </row>
    <row r="20" spans="1:22" ht="35.65" customHeight="1">
      <c r="A20" s="442"/>
      <c r="C20" s="463"/>
      <c r="D20" s="1815" t="s">
        <v>339</v>
      </c>
      <c r="E20" s="496" t="s">
        <v>827</v>
      </c>
      <c r="F20" s="458" t="s">
        <v>828</v>
      </c>
      <c r="G20" s="748"/>
      <c r="H20" s="46"/>
      <c r="I20" s="748"/>
      <c r="J20" s="46"/>
      <c r="K20" s="616"/>
      <c r="V20" s="442">
        <v>34</v>
      </c>
    </row>
    <row r="21" spans="1:22" ht="48.2" customHeight="1">
      <c r="A21" s="442"/>
      <c r="C21" s="463"/>
      <c r="D21" s="1815" t="s">
        <v>341</v>
      </c>
      <c r="E21" s="496" t="s">
        <v>829</v>
      </c>
      <c r="F21" s="458" t="s">
        <v>580</v>
      </c>
      <c r="G21" s="617"/>
      <c r="H21" s="46"/>
      <c r="I21" s="617"/>
      <c r="J21" s="46"/>
      <c r="K21" s="616"/>
      <c r="V21" s="442">
        <v>46</v>
      </c>
    </row>
    <row r="22" spans="1:22" ht="67.5" hidden="1" customHeight="1">
      <c r="A22" s="442"/>
      <c r="C22" s="463"/>
      <c r="D22" s="458">
        <v>5</v>
      </c>
      <c r="E22" s="217" t="s">
        <v>1176</v>
      </c>
      <c r="F22" s="458" t="s">
        <v>567</v>
      </c>
      <c r="G22" s="618"/>
      <c r="H22" s="619"/>
      <c r="I22" s="618"/>
      <c r="J22" s="619"/>
      <c r="K22" s="227" t="s">
        <v>1177</v>
      </c>
      <c r="V22" s="442">
        <v>0</v>
      </c>
    </row>
    <row r="23" spans="1:22" ht="33.75" hidden="1" customHeight="1">
      <c r="C23" s="388"/>
      <c r="D23" s="458">
        <v>6</v>
      </c>
      <c r="E23" s="217" t="s">
        <v>1178</v>
      </c>
      <c r="F23" s="458" t="s">
        <v>1179</v>
      </c>
      <c r="G23" s="618"/>
      <c r="H23" s="618"/>
      <c r="I23" s="618"/>
      <c r="J23" s="618"/>
      <c r="K23" s="227" t="s">
        <v>1180</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83</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95F6-A8A8-EAC1-FE49-894620C0200F}">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1181</v>
      </c>
      <c r="B1" s="997" t="s">
        <v>1182</v>
      </c>
      <c r="C1" s="997" t="s">
        <v>1183</v>
      </c>
      <c r="D1" s="997" t="s">
        <v>1184</v>
      </c>
      <c r="E1" s="997" t="s">
        <v>1185</v>
      </c>
      <c r="F1" s="997" t="s">
        <v>1186</v>
      </c>
      <c r="G1" s="997" t="s">
        <v>1187</v>
      </c>
      <c r="H1" s="997" t="s">
        <v>1188</v>
      </c>
      <c r="I1" s="997" t="s">
        <v>1189</v>
      </c>
      <c r="J1" s="997" t="s">
        <v>1190</v>
      </c>
      <c r="K1" s="997" t="s">
        <v>1191</v>
      </c>
      <c r="L1" s="997" t="s">
        <v>1192</v>
      </c>
      <c r="M1" s="997"/>
      <c r="N1" s="997" t="s">
        <v>1193</v>
      </c>
      <c r="O1" s="997" t="s">
        <v>1194</v>
      </c>
      <c r="P1" s="997" t="s">
        <v>1195</v>
      </c>
      <c r="Q1" s="997" t="s">
        <v>1196</v>
      </c>
      <c r="R1" s="997" t="s">
        <v>1197</v>
      </c>
      <c r="S1" s="997" t="s">
        <v>1198</v>
      </c>
      <c r="T1" s="997" t="s">
        <v>1199</v>
      </c>
      <c r="U1" s="997" t="s">
        <v>1200</v>
      </c>
      <c r="V1" s="997"/>
      <c r="W1" s="728" t="s">
        <v>1201</v>
      </c>
      <c r="X1" s="997" t="s">
        <v>1202</v>
      </c>
      <c r="Y1" s="997" t="s">
        <v>1203</v>
      </c>
      <c r="Z1" s="997"/>
      <c r="AA1" s="997" t="s">
        <v>1204</v>
      </c>
      <c r="AB1" s="997"/>
      <c r="AC1" s="997" t="s">
        <v>1205</v>
      </c>
      <c r="AD1" s="997"/>
      <c r="AF1" s="997" t="s">
        <v>1206</v>
      </c>
      <c r="AH1" s="997" t="s">
        <v>1207</v>
      </c>
      <c r="AI1" s="997" t="s">
        <v>1208</v>
      </c>
      <c r="AK1" s="997" t="s">
        <v>1209</v>
      </c>
      <c r="AM1" s="997" t="s">
        <v>1210</v>
      </c>
      <c r="AP1" s="997" t="s">
        <v>1211</v>
      </c>
      <c r="AQ1" s="997" t="s">
        <v>1212</v>
      </c>
      <c r="AS1" s="997" t="s">
        <v>1213</v>
      </c>
      <c r="AU1" s="997" t="s">
        <v>1214</v>
      </c>
      <c r="AW1" s="997" t="s">
        <v>1215</v>
      </c>
      <c r="AX1" s="997" t="s">
        <v>1216</v>
      </c>
      <c r="AZ1" s="1079" t="s">
        <v>1217</v>
      </c>
      <c r="BB1" s="997" t="s">
        <v>1218</v>
      </c>
      <c r="BC1" s="997"/>
      <c r="BE1" s="997" t="s">
        <v>1219</v>
      </c>
      <c r="BF1" s="997" t="s">
        <v>1220</v>
      </c>
      <c r="BH1" s="999" t="s">
        <v>816</v>
      </c>
      <c r="BI1" s="1000"/>
      <c r="BJ1" s="1001" t="s">
        <v>1221</v>
      </c>
      <c r="BK1" s="1000"/>
      <c r="BL1" s="1002" t="s">
        <v>915</v>
      </c>
      <c r="BM1" s="1000"/>
      <c r="BN1" s="1003" t="s">
        <v>1222</v>
      </c>
    </row>
    <row r="2" spans="1:79" ht="11.25" customHeight="1">
      <c r="A2" s="1004" t="s">
        <v>1223</v>
      </c>
      <c r="B2" s="1005">
        <v>2000</v>
      </c>
      <c r="C2" s="1005">
        <v>2022</v>
      </c>
      <c r="D2" s="1005" t="s">
        <v>67</v>
      </c>
      <c r="E2" s="1006" t="s">
        <v>1224</v>
      </c>
      <c r="F2" s="1006" t="s">
        <v>1225</v>
      </c>
      <c r="G2" s="1006" t="s">
        <v>1226</v>
      </c>
      <c r="H2" s="1007" t="s">
        <v>56</v>
      </c>
      <c r="I2" s="1006" t="s">
        <v>110</v>
      </c>
      <c r="J2" s="1006" t="s">
        <v>1227</v>
      </c>
      <c r="K2" s="1008" t="s">
        <v>1228</v>
      </c>
      <c r="L2" s="1009"/>
      <c r="M2" s="1008">
        <v>1</v>
      </c>
      <c r="N2" s="1089" t="s">
        <v>1229</v>
      </c>
      <c r="O2" s="1007" t="s">
        <v>1230</v>
      </c>
      <c r="P2" s="1010" t="s">
        <v>1231</v>
      </c>
      <c r="Q2" s="1011" t="s">
        <v>454</v>
      </c>
      <c r="R2" s="82" t="s">
        <v>1232</v>
      </c>
      <c r="S2" s="82" t="s">
        <v>1233</v>
      </c>
      <c r="T2" s="1012" t="s">
        <v>1234</v>
      </c>
      <c r="U2" s="1009" t="s">
        <v>1235</v>
      </c>
      <c r="V2" s="1013">
        <v>1</v>
      </c>
      <c r="W2" s="1014"/>
      <c r="X2" s="1014" t="s">
        <v>1236</v>
      </c>
      <c r="Y2" s="1005" t="s">
        <v>1237</v>
      </c>
      <c r="Z2" s="1015"/>
      <c r="AA2" s="1005" t="s">
        <v>1238</v>
      </c>
      <c r="AB2" s="1016" t="s">
        <v>1238</v>
      </c>
      <c r="AC2" s="1005" t="s">
        <v>1239</v>
      </c>
      <c r="AD2" s="1016" t="s">
        <v>1239</v>
      </c>
      <c r="AF2" s="1007" t="s">
        <v>1235</v>
      </c>
      <c r="AH2" s="1006" t="s">
        <v>1240</v>
      </c>
      <c r="AI2" s="1006" t="s">
        <v>1240</v>
      </c>
      <c r="AK2" s="1006" t="s">
        <v>1241</v>
      </c>
      <c r="AM2" s="1006" t="s">
        <v>1242</v>
      </c>
      <c r="AP2" s="1017" t="s">
        <v>1236</v>
      </c>
      <c r="AQ2" s="1018" t="s">
        <v>1236</v>
      </c>
      <c r="AS2" s="1005" t="s">
        <v>1243</v>
      </c>
      <c r="AU2" s="1047" t="s">
        <v>1244</v>
      </c>
      <c r="AW2" s="1047" t="s">
        <v>1245</v>
      </c>
      <c r="AX2" s="1047" t="s">
        <v>1245</v>
      </c>
      <c r="AZ2" s="1047" t="s">
        <v>54</v>
      </c>
      <c r="BB2" s="1047" t="s">
        <v>1246</v>
      </c>
      <c r="BC2" s="1047" t="s">
        <v>1247</v>
      </c>
      <c r="BE2" s="1047">
        <v>2000</v>
      </c>
      <c r="BF2" s="1047" t="s">
        <v>1248</v>
      </c>
    </row>
    <row r="3" spans="1:79" ht="11.25" customHeight="1">
      <c r="A3" s="1004" t="s">
        <v>1249</v>
      </c>
      <c r="B3" s="1005">
        <v>2001</v>
      </c>
      <c r="C3" s="1005">
        <v>2023</v>
      </c>
      <c r="D3" s="1005" t="s">
        <v>19</v>
      </c>
      <c r="E3" s="1006" t="s">
        <v>1250</v>
      </c>
      <c r="F3" s="1006" t="s">
        <v>1251</v>
      </c>
      <c r="G3" s="1006" t="s">
        <v>1252</v>
      </c>
      <c r="H3" s="1007" t="s">
        <v>1253</v>
      </c>
      <c r="I3" s="1006" t="s">
        <v>111</v>
      </c>
      <c r="J3" s="1006" t="s">
        <v>565</v>
      </c>
      <c r="K3" s="1008" t="s">
        <v>1159</v>
      </c>
      <c r="L3" s="1009">
        <f>IFERROR(MATCH(K3,OFFER_METHOD,0),0)</f>
        <v>4</v>
      </c>
      <c r="M3" s="1008">
        <v>2</v>
      </c>
      <c r="N3" s="1089" t="s">
        <v>1254</v>
      </c>
      <c r="O3" s="1007" t="s">
        <v>1255</v>
      </c>
      <c r="P3" s="1010" t="s">
        <v>37</v>
      </c>
      <c r="Q3" s="1011" t="s">
        <v>1256</v>
      </c>
      <c r="R3" s="82" t="s">
        <v>1257</v>
      </c>
      <c r="S3" s="82" t="s">
        <v>1258</v>
      </c>
      <c r="T3" s="1012" t="s">
        <v>1259</v>
      </c>
      <c r="U3" s="1009" t="s">
        <v>1260</v>
      </c>
      <c r="V3" s="1013">
        <v>2</v>
      </c>
      <c r="W3" s="1014"/>
      <c r="X3" s="1014" t="s">
        <v>1261</v>
      </c>
      <c r="Y3" s="1005" t="s">
        <v>1237</v>
      </c>
      <c r="Z3" s="1015"/>
      <c r="AA3" s="1005" t="s">
        <v>1262</v>
      </c>
      <c r="AB3" s="1016" t="s">
        <v>1262</v>
      </c>
      <c r="AC3" s="1005" t="s">
        <v>1263</v>
      </c>
      <c r="AD3" s="1016" t="s">
        <v>1263</v>
      </c>
      <c r="AF3" s="1007" t="s">
        <v>1260</v>
      </c>
      <c r="AH3" s="1006" t="s">
        <v>1264</v>
      </c>
      <c r="AI3" s="1006" t="s">
        <v>1265</v>
      </c>
      <c r="AK3" s="1006" t="s">
        <v>1266</v>
      </c>
      <c r="AM3" s="1006" t="s">
        <v>1267</v>
      </c>
      <c r="AP3" s="1017" t="s">
        <v>1268</v>
      </c>
      <c r="AQ3" s="1018" t="s">
        <v>1268</v>
      </c>
      <c r="AS3" s="1005" t="s">
        <v>1269</v>
      </c>
      <c r="AU3" s="1047" t="s">
        <v>1270</v>
      </c>
      <c r="AW3" s="1047" t="s">
        <v>1271</v>
      </c>
      <c r="AX3" s="1047" t="s">
        <v>1271</v>
      </c>
      <c r="AZ3" s="1047" t="s">
        <v>1272</v>
      </c>
      <c r="BB3" s="1047" t="s">
        <v>1273</v>
      </c>
      <c r="BC3" s="1047" t="s">
        <v>1247</v>
      </c>
      <c r="BE3" s="1047">
        <v>2001</v>
      </c>
      <c r="BF3" s="1047" t="s">
        <v>1274</v>
      </c>
      <c r="BH3" s="997" t="s">
        <v>1275</v>
      </c>
      <c r="BJ3" s="997" t="s">
        <v>1276</v>
      </c>
      <c r="BL3" s="997" t="s">
        <v>1277</v>
      </c>
      <c r="BN3" s="997" t="s">
        <v>1278</v>
      </c>
      <c r="BR3" s="997" t="s">
        <v>1279</v>
      </c>
      <c r="BS3" s="1355"/>
      <c r="BT3" s="1000"/>
      <c r="BU3" s="997" t="s">
        <v>1280</v>
      </c>
      <c r="BV3" s="1000"/>
      <c r="BW3" s="1617"/>
      <c r="BX3" s="1619" t="s">
        <v>1281</v>
      </c>
      <c r="CA3" s="997" t="s">
        <v>1282</v>
      </c>
    </row>
    <row r="4" spans="1:79" ht="11.25" customHeight="1">
      <c r="A4" s="1004" t="s">
        <v>1283</v>
      </c>
      <c r="B4" s="1005">
        <v>2002</v>
      </c>
      <c r="C4" s="1005">
        <v>2024</v>
      </c>
      <c r="E4" s="1006" t="s">
        <v>1284</v>
      </c>
      <c r="F4" s="1006" t="s">
        <v>1285</v>
      </c>
      <c r="H4" s="1007" t="s">
        <v>1286</v>
      </c>
      <c r="I4" s="1006" t="s">
        <v>91</v>
      </c>
      <c r="J4" s="1006" t="s">
        <v>1287</v>
      </c>
      <c r="K4" s="1008" t="s">
        <v>1288</v>
      </c>
      <c r="L4" s="1009">
        <f>IFERROR(MATCH(K4,OFFER_METHOD,0),0)</f>
        <v>0</v>
      </c>
      <c r="M4" s="1008">
        <v>3</v>
      </c>
      <c r="N4" s="1089" t="s">
        <v>1289</v>
      </c>
      <c r="O4" s="1006" t="s">
        <v>1290</v>
      </c>
      <c r="Q4" s="1011" t="s">
        <v>1291</v>
      </c>
      <c r="R4" s="82" t="s">
        <v>1292</v>
      </c>
      <c r="S4" s="82" t="s">
        <v>1293</v>
      </c>
      <c r="T4" s="1012" t="s">
        <v>1294</v>
      </c>
      <c r="U4" s="1009" t="s">
        <v>1295</v>
      </c>
      <c r="V4" s="1013">
        <v>3</v>
      </c>
      <c r="W4" s="1014"/>
      <c r="X4" s="1014" t="s">
        <v>1296</v>
      </c>
      <c r="Y4" s="1005" t="s">
        <v>1237</v>
      </c>
      <c r="Z4" s="1020"/>
      <c r="AC4" s="1005" t="s">
        <v>1297</v>
      </c>
      <c r="AD4" s="1016" t="s">
        <v>1297</v>
      </c>
      <c r="AF4" s="1007" t="s">
        <v>1295</v>
      </c>
      <c r="AH4" s="1007" t="s">
        <v>1298</v>
      </c>
      <c r="AK4" s="1006" t="s">
        <v>1299</v>
      </c>
      <c r="AM4" s="1006" t="s">
        <v>1300</v>
      </c>
      <c r="AP4" s="1017" t="s">
        <v>1261</v>
      </c>
      <c r="AQ4" s="1018" t="s">
        <v>1261</v>
      </c>
      <c r="AS4" s="1005" t="s">
        <v>1301</v>
      </c>
      <c r="AU4" s="1047" t="s">
        <v>1302</v>
      </c>
      <c r="AW4" s="1047" t="s">
        <v>1303</v>
      </c>
      <c r="AX4" s="1047" t="s">
        <v>1303</v>
      </c>
      <c r="AZ4" s="1047" t="s">
        <v>1304</v>
      </c>
      <c r="BB4" s="1047" t="s">
        <v>1305</v>
      </c>
      <c r="BC4" s="1047" t="s">
        <v>1306</v>
      </c>
      <c r="BE4" s="1047">
        <v>2002</v>
      </c>
      <c r="BF4" s="1047" t="s">
        <v>1307</v>
      </c>
      <c r="BH4" s="998" t="s">
        <v>1308</v>
      </c>
      <c r="BJ4" s="998" t="s">
        <v>1308</v>
      </c>
      <c r="BL4" s="998" t="s">
        <v>1308</v>
      </c>
      <c r="BN4" s="998" t="s">
        <v>1308</v>
      </c>
      <c r="BQ4" s="1359" t="s">
        <v>1309</v>
      </c>
      <c r="BR4" s="1086" t="s">
        <v>1310</v>
      </c>
      <c r="BS4" s="212"/>
      <c r="BT4" s="1359" t="s">
        <v>1311</v>
      </c>
      <c r="BU4" s="1086" t="s">
        <v>1312</v>
      </c>
      <c r="BV4" s="1000"/>
      <c r="BW4" s="1624" t="s">
        <v>1313</v>
      </c>
      <c r="BX4" s="1618" t="s">
        <v>1314</v>
      </c>
      <c r="BZ4" s="1359" t="s">
        <v>1315</v>
      </c>
      <c r="CA4" s="1086" t="s">
        <v>1316</v>
      </c>
    </row>
    <row r="5" spans="1:79" ht="11.25" customHeight="1">
      <c r="A5" s="1004" t="s">
        <v>1317</v>
      </c>
      <c r="B5" s="1005">
        <v>2003</v>
      </c>
      <c r="C5" s="1005">
        <v>2025</v>
      </c>
      <c r="E5" s="1006" t="s">
        <v>1318</v>
      </c>
      <c r="F5" s="1006" t="s">
        <v>1319</v>
      </c>
      <c r="H5" s="1007" t="s">
        <v>1320</v>
      </c>
      <c r="I5" s="1006" t="s">
        <v>92</v>
      </c>
      <c r="K5" s="1008" t="s">
        <v>1321</v>
      </c>
      <c r="L5" s="1009">
        <f>IFERROR(MATCH(K5,OFFER_METHOD,0),0)</f>
        <v>0</v>
      </c>
      <c r="M5" s="1008">
        <v>4</v>
      </c>
      <c r="N5" s="1021" t="s">
        <v>1322</v>
      </c>
      <c r="O5" s="1006" t="s">
        <v>1323</v>
      </c>
      <c r="Q5" s="1011" t="s">
        <v>1324</v>
      </c>
      <c r="R5" s="82" t="s">
        <v>457</v>
      </c>
      <c r="T5" s="1007" t="s">
        <v>1325</v>
      </c>
      <c r="U5" s="1009" t="s">
        <v>1326</v>
      </c>
      <c r="V5" s="1013">
        <v>4</v>
      </c>
      <c r="W5" s="1014"/>
      <c r="X5" s="1014" t="s">
        <v>173</v>
      </c>
      <c r="Y5" s="1005" t="s">
        <v>1327</v>
      </c>
      <c r="Z5" s="1020">
        <v>1</v>
      </c>
      <c r="AF5" s="1007" t="s">
        <v>1328</v>
      </c>
      <c r="AH5" s="1006" t="s">
        <v>1329</v>
      </c>
      <c r="AK5" s="1006" t="s">
        <v>1330</v>
      </c>
      <c r="AM5" s="1006" t="s">
        <v>1331</v>
      </c>
      <c r="AP5" s="1017" t="s">
        <v>173</v>
      </c>
      <c r="AQ5" s="1018" t="s">
        <v>173</v>
      </c>
      <c r="AU5" s="1047" t="s">
        <v>1332</v>
      </c>
      <c r="AW5" s="1047" t="s">
        <v>1333</v>
      </c>
      <c r="AX5" s="1047" t="s">
        <v>1333</v>
      </c>
      <c r="AZ5" s="1047" t="s">
        <v>1334</v>
      </c>
      <c r="BB5" s="1047" t="s">
        <v>1335</v>
      </c>
      <c r="BC5" s="1047" t="s">
        <v>1336</v>
      </c>
      <c r="BE5" s="1047">
        <v>2003</v>
      </c>
      <c r="BF5" s="1047" t="s">
        <v>1337</v>
      </c>
      <c r="BH5" s="998" t="s">
        <v>1338</v>
      </c>
      <c r="BJ5" s="998" t="s">
        <v>1338</v>
      </c>
      <c r="BL5" s="998" t="s">
        <v>1338</v>
      </c>
      <c r="BN5" s="998" t="s">
        <v>1339</v>
      </c>
      <c r="BQ5" s="1208">
        <v>4213775</v>
      </c>
      <c r="BR5" s="998" t="s">
        <v>1236</v>
      </c>
      <c r="BS5" s="1356"/>
      <c r="BT5" s="1208">
        <v>64236871</v>
      </c>
      <c r="BU5" s="998" t="s">
        <v>236</v>
      </c>
      <c r="BV5" s="1000"/>
      <c r="BW5" s="1622">
        <v>4213767</v>
      </c>
      <c r="BX5" s="1620" t="s">
        <v>1340</v>
      </c>
      <c r="BZ5" s="1208">
        <v>64237509</v>
      </c>
      <c r="CA5" s="1222" t="s">
        <v>1341</v>
      </c>
    </row>
    <row r="6" spans="1:79" ht="11.25" customHeight="1">
      <c r="A6" s="1004" t="s">
        <v>1342</v>
      </c>
      <c r="B6" s="1005">
        <v>2004</v>
      </c>
      <c r="C6" s="1005">
        <v>2026</v>
      </c>
      <c r="E6" s="1006" t="s">
        <v>1343</v>
      </c>
      <c r="F6" s="1022"/>
      <c r="H6" s="1007" t="s">
        <v>1344</v>
      </c>
      <c r="I6" s="1006" t="s">
        <v>112</v>
      </c>
      <c r="J6" s="997" t="s">
        <v>1345</v>
      </c>
      <c r="L6" s="1009">
        <f>SUM(kind_of_control_method_filter)</f>
        <v>4</v>
      </c>
      <c r="N6" s="1021" t="s">
        <v>1346</v>
      </c>
      <c r="O6" s="1006" t="s">
        <v>1347</v>
      </c>
      <c r="R6" s="82" t="s">
        <v>454</v>
      </c>
      <c r="T6" s="1007" t="s">
        <v>1348</v>
      </c>
      <c r="U6" s="1009" t="s">
        <v>1328</v>
      </c>
      <c r="V6" s="1013">
        <v>5</v>
      </c>
      <c r="W6" s="1014"/>
      <c r="X6" s="1005" t="s">
        <v>179</v>
      </c>
      <c r="Y6" s="1005" t="s">
        <v>1349</v>
      </c>
      <c r="Z6" s="1020"/>
      <c r="AA6" s="1023"/>
      <c r="AH6" s="1006" t="s">
        <v>1350</v>
      </c>
      <c r="AK6" s="1006" t="s">
        <v>1351</v>
      </c>
      <c r="AM6" s="1006" t="s">
        <v>1352</v>
      </c>
      <c r="AP6" s="1017" t="s">
        <v>179</v>
      </c>
      <c r="AQ6" s="1018" t="s">
        <v>179</v>
      </c>
      <c r="AU6" s="1047" t="s">
        <v>1353</v>
      </c>
      <c r="AW6" s="1047" t="s">
        <v>1354</v>
      </c>
      <c r="AX6" s="1047" t="s">
        <v>1354</v>
      </c>
      <c r="BB6" s="1047" t="s">
        <v>1355</v>
      </c>
      <c r="BC6" s="1047" t="s">
        <v>1336</v>
      </c>
      <c r="BE6" s="1047">
        <v>2004</v>
      </c>
      <c r="BF6" s="1047" t="s">
        <v>1356</v>
      </c>
      <c r="BH6" s="998" t="s">
        <v>1357</v>
      </c>
      <c r="BJ6" s="998" t="s">
        <v>1358</v>
      </c>
      <c r="BL6" s="998" t="s">
        <v>1358</v>
      </c>
      <c r="BN6" s="998" t="s">
        <v>1359</v>
      </c>
      <c r="BQ6" s="1208">
        <v>4213784</v>
      </c>
      <c r="BR6" s="1222" t="s">
        <v>1268</v>
      </c>
      <c r="BS6" s="1357"/>
      <c r="BT6" s="1208">
        <v>64236872</v>
      </c>
      <c r="BU6" s="998" t="s">
        <v>241</v>
      </c>
      <c r="BV6" s="1000"/>
      <c r="BW6" s="1622">
        <v>4213768</v>
      </c>
      <c r="BX6" s="1620" t="s">
        <v>261</v>
      </c>
      <c r="BZ6" s="1208">
        <v>64237510</v>
      </c>
      <c r="CA6" s="998" t="s">
        <v>1360</v>
      </c>
    </row>
    <row r="7" spans="1:79" ht="11.25" customHeight="1">
      <c r="A7" s="1004" t="s">
        <v>1361</v>
      </c>
      <c r="B7" s="1005">
        <v>2005</v>
      </c>
      <c r="E7" s="1006" t="s">
        <v>1362</v>
      </c>
      <c r="F7" s="1022"/>
      <c r="H7" s="1007" t="s">
        <v>1363</v>
      </c>
      <c r="I7" s="1006" t="s">
        <v>93</v>
      </c>
      <c r="J7" s="1006" t="s">
        <v>1364</v>
      </c>
      <c r="N7" s="1025" t="s">
        <v>1365</v>
      </c>
      <c r="O7" s="1006" t="s">
        <v>1366</v>
      </c>
      <c r="U7" s="1009" t="s">
        <v>19</v>
      </c>
      <c r="V7" s="307" t="s">
        <v>93</v>
      </c>
      <c r="W7" s="1014"/>
      <c r="X7" s="1005" t="s">
        <v>187</v>
      </c>
      <c r="Y7" s="1005" t="s">
        <v>1327</v>
      </c>
      <c r="Z7" s="1020"/>
      <c r="AA7" s="1023"/>
      <c r="AH7" s="1006" t="s">
        <v>1367</v>
      </c>
      <c r="AK7" s="1006" t="s">
        <v>1368</v>
      </c>
      <c r="AM7" s="1006" t="s">
        <v>1369</v>
      </c>
      <c r="AP7" s="1017" t="s">
        <v>187</v>
      </c>
      <c r="AQ7" s="1018" t="s">
        <v>187</v>
      </c>
      <c r="AU7" s="1047" t="s">
        <v>1370</v>
      </c>
      <c r="AW7" s="1047" t="s">
        <v>1371</v>
      </c>
      <c r="AX7" s="1047" t="s">
        <v>1371</v>
      </c>
      <c r="AZ7" s="997" t="s">
        <v>1372</v>
      </c>
      <c r="BB7" s="1047" t="s">
        <v>1373</v>
      </c>
      <c r="BC7" s="1047" t="s">
        <v>1336</v>
      </c>
      <c r="BE7" s="1047">
        <v>2005</v>
      </c>
      <c r="BF7" s="1047" t="s">
        <v>1374</v>
      </c>
      <c r="BH7" s="998" t="s">
        <v>1375</v>
      </c>
      <c r="BJ7" s="998" t="s">
        <v>1357</v>
      </c>
      <c r="BL7" s="998" t="s">
        <v>1357</v>
      </c>
      <c r="BN7" s="998" t="s">
        <v>1376</v>
      </c>
      <c r="BQ7" s="1208">
        <v>4213781</v>
      </c>
      <c r="BR7" s="998" t="s">
        <v>1261</v>
      </c>
      <c r="BS7" s="1356"/>
      <c r="BT7" s="1208">
        <v>64236873</v>
      </c>
      <c r="BU7" s="998" t="s">
        <v>246</v>
      </c>
      <c r="BV7" s="1000"/>
      <c r="BW7" s="1622">
        <v>4213769</v>
      </c>
      <c r="BX7" s="1620" t="s">
        <v>1377</v>
      </c>
      <c r="BZ7" s="1208">
        <v>64237511</v>
      </c>
      <c r="CA7" s="998" t="s">
        <v>276</v>
      </c>
    </row>
    <row r="8" spans="1:79" ht="11.25" customHeight="1">
      <c r="A8" s="1004" t="s">
        <v>1378</v>
      </c>
      <c r="B8" s="1005">
        <v>2006</v>
      </c>
      <c r="E8" s="1006" t="s">
        <v>1379</v>
      </c>
      <c r="F8" s="1022"/>
      <c r="H8" s="1007" t="s">
        <v>1380</v>
      </c>
      <c r="I8" s="1006" t="s">
        <v>94</v>
      </c>
      <c r="J8" s="1006" t="s">
        <v>1381</v>
      </c>
      <c r="N8" s="1090" t="s">
        <v>1382</v>
      </c>
      <c r="O8" s="1006" t="s">
        <v>1383</v>
      </c>
      <c r="V8" s="307" t="s">
        <v>94</v>
      </c>
      <c r="W8" s="1014"/>
      <c r="X8" s="1005" t="s">
        <v>193</v>
      </c>
      <c r="Y8" s="1005" t="s">
        <v>1327</v>
      </c>
      <c r="Z8" s="1020"/>
      <c r="AA8" s="1023"/>
      <c r="AK8" s="1006" t="s">
        <v>1384</v>
      </c>
      <c r="AP8" s="1017" t="s">
        <v>193</v>
      </c>
      <c r="AQ8" s="1018" t="s">
        <v>193</v>
      </c>
      <c r="AU8" s="1047" t="s">
        <v>1385</v>
      </c>
      <c r="AW8" s="1047" t="s">
        <v>1386</v>
      </c>
      <c r="AX8" s="1047" t="s">
        <v>1386</v>
      </c>
      <c r="AZ8" s="1047" t="s">
        <v>1387</v>
      </c>
      <c r="BB8" s="1047" t="s">
        <v>1388</v>
      </c>
      <c r="BC8" s="1047" t="s">
        <v>1336</v>
      </c>
      <c r="BE8" s="1047">
        <v>2006</v>
      </c>
      <c r="BF8" s="1047" t="s">
        <v>1389</v>
      </c>
      <c r="BH8" s="998" t="s">
        <v>1390</v>
      </c>
      <c r="BJ8" s="998" t="s">
        <v>1391</v>
      </c>
      <c r="BL8" s="998" t="s">
        <v>1391</v>
      </c>
      <c r="BN8" s="998" t="s">
        <v>1392</v>
      </c>
      <c r="BQ8" s="1208">
        <v>4213776</v>
      </c>
      <c r="BR8" s="998" t="s">
        <v>173</v>
      </c>
      <c r="BS8" s="1356"/>
      <c r="BT8" s="1208">
        <v>64236874</v>
      </c>
      <c r="BU8" s="1222" t="s">
        <v>1393</v>
      </c>
      <c r="BV8" s="1000"/>
      <c r="BW8" s="1622">
        <v>4213770</v>
      </c>
      <c r="BX8" s="1623" t="s">
        <v>1394</v>
      </c>
      <c r="BZ8" s="1208">
        <v>64237512</v>
      </c>
      <c r="CA8" s="998" t="s">
        <v>271</v>
      </c>
    </row>
    <row r="9" spans="1:79" ht="11.25" customHeight="1">
      <c r="A9" s="1004" t="s">
        <v>1395</v>
      </c>
      <c r="B9" s="1005">
        <v>2007</v>
      </c>
      <c r="E9" s="1006" t="s">
        <v>1396</v>
      </c>
      <c r="F9" s="1022"/>
      <c r="G9" s="997" t="s">
        <v>1397</v>
      </c>
      <c r="H9" s="997" t="s">
        <v>1398</v>
      </c>
      <c r="I9" s="1006" t="s">
        <v>113</v>
      </c>
      <c r="O9" s="1006" t="s">
        <v>456</v>
      </c>
      <c r="V9" s="307" t="s">
        <v>113</v>
      </c>
      <c r="W9" s="1014"/>
      <c r="X9" s="1005" t="s">
        <v>199</v>
      </c>
      <c r="Y9" s="1005" t="s">
        <v>1237</v>
      </c>
      <c r="Z9" s="1020">
        <v>1</v>
      </c>
      <c r="AA9" s="1023"/>
      <c r="AK9" s="1006" t="s">
        <v>1399</v>
      </c>
      <c r="AP9" s="1017" t="s">
        <v>1400</v>
      </c>
      <c r="AQ9" s="1018" t="s">
        <v>1400</v>
      </c>
      <c r="AW9" s="1047" t="s">
        <v>1401</v>
      </c>
      <c r="AX9" s="1047" t="s">
        <v>1401</v>
      </c>
      <c r="AZ9" s="1047" t="s">
        <v>1402</v>
      </c>
      <c r="BB9" s="1047" t="s">
        <v>1403</v>
      </c>
      <c r="BC9" s="1047" t="s">
        <v>1336</v>
      </c>
      <c r="BE9" s="1047">
        <v>2007</v>
      </c>
      <c r="BF9" s="1047" t="s">
        <v>1404</v>
      </c>
      <c r="BH9" s="998" t="s">
        <v>1405</v>
      </c>
      <c r="BJ9" s="998" t="s">
        <v>1406</v>
      </c>
      <c r="BL9" s="998" t="s">
        <v>1406</v>
      </c>
      <c r="BN9" s="998" t="s">
        <v>1407</v>
      </c>
      <c r="BQ9" s="1208">
        <v>4213777</v>
      </c>
      <c r="BR9" s="998" t="s">
        <v>179</v>
      </c>
      <c r="BS9" s="1356"/>
      <c r="BT9" s="1208">
        <v>64236875</v>
      </c>
      <c r="BU9" s="998" t="s">
        <v>251</v>
      </c>
      <c r="BV9" s="1000"/>
      <c r="BW9" s="1617"/>
      <c r="BX9" s="1617"/>
    </row>
    <row r="10" spans="1:79" ht="11.25" customHeight="1">
      <c r="A10" s="1004" t="s">
        <v>1408</v>
      </c>
      <c r="B10" s="1005">
        <v>2008</v>
      </c>
      <c r="E10" s="1006" t="s">
        <v>1409</v>
      </c>
      <c r="F10" s="1022"/>
      <c r="G10" s="1006" t="s">
        <v>1410</v>
      </c>
      <c r="H10" s="1006" t="s">
        <v>1411</v>
      </c>
      <c r="I10" s="1006" t="s">
        <v>149</v>
      </c>
      <c r="J10" s="997" t="s">
        <v>1412</v>
      </c>
      <c r="K10" s="997" t="s">
        <v>1413</v>
      </c>
      <c r="O10" s="1006" t="s">
        <v>472</v>
      </c>
      <c r="V10" s="308" t="s">
        <v>149</v>
      </c>
      <c r="W10" s="1026"/>
      <c r="X10" s="1026" t="s">
        <v>1414</v>
      </c>
      <c r="Y10" s="1027" t="s">
        <v>1415</v>
      </c>
      <c r="Z10" s="1020"/>
      <c r="AP10" s="1017" t="s">
        <v>1414</v>
      </c>
      <c r="AQ10" s="1018" t="s">
        <v>1414</v>
      </c>
      <c r="AW10" s="1047" t="s">
        <v>1416</v>
      </c>
      <c r="AX10" s="1047" t="s">
        <v>1416</v>
      </c>
      <c r="AZ10" s="1047" t="s">
        <v>1417</v>
      </c>
      <c r="BB10" s="1047" t="s">
        <v>1418</v>
      </c>
      <c r="BC10" s="1047" t="s">
        <v>1336</v>
      </c>
      <c r="BE10" s="1047">
        <v>2008</v>
      </c>
      <c r="BF10" s="1047" t="s">
        <v>1419</v>
      </c>
      <c r="BH10" s="998" t="s">
        <v>1420</v>
      </c>
      <c r="BJ10" s="998" t="s">
        <v>1421</v>
      </c>
      <c r="BL10" s="998" t="s">
        <v>1421</v>
      </c>
      <c r="BN10" s="998" t="s">
        <v>1422</v>
      </c>
      <c r="BQ10" s="1208">
        <v>4213778</v>
      </c>
      <c r="BR10" s="998" t="s">
        <v>187</v>
      </c>
      <c r="BS10" s="1356"/>
      <c r="BT10" s="1208">
        <v>64236876</v>
      </c>
      <c r="BU10" s="998" t="s">
        <v>231</v>
      </c>
      <c r="BV10" s="1000"/>
      <c r="BW10" s="1617"/>
      <c r="BX10" s="1617"/>
    </row>
    <row r="11" spans="1:79" ht="11.25" customHeight="1">
      <c r="A11" s="1004" t="s">
        <v>1423</v>
      </c>
      <c r="B11" s="1005">
        <v>2009</v>
      </c>
      <c r="E11" s="1006" t="s">
        <v>1424</v>
      </c>
      <c r="F11" s="1022"/>
      <c r="G11" s="1006" t="s">
        <v>1425</v>
      </c>
      <c r="H11" s="1006" t="s">
        <v>1426</v>
      </c>
      <c r="I11" s="1006" t="s">
        <v>150</v>
      </c>
      <c r="J11" s="1007" t="s">
        <v>1427</v>
      </c>
      <c r="K11" s="1028" t="s">
        <v>1428</v>
      </c>
      <c r="O11" s="1007" t="s">
        <v>1429</v>
      </c>
      <c r="V11" s="307" t="s">
        <v>150</v>
      </c>
      <c r="W11" s="213"/>
      <c r="X11" s="1014" t="s">
        <v>1400</v>
      </c>
      <c r="Y11" s="1005" t="s">
        <v>1430</v>
      </c>
      <c r="Z11" s="1020"/>
      <c r="AP11" s="1017" t="s">
        <v>199</v>
      </c>
      <c r="AQ11" s="1019" t="s">
        <v>199</v>
      </c>
      <c r="AW11" s="1047" t="s">
        <v>1431</v>
      </c>
      <c r="AX11" s="1047" t="s">
        <v>1431</v>
      </c>
      <c r="AZ11" s="1047" t="s">
        <v>1432</v>
      </c>
      <c r="BB11" s="1047" t="s">
        <v>1433</v>
      </c>
      <c r="BC11" s="1047" t="s">
        <v>1336</v>
      </c>
      <c r="BE11" s="1047">
        <v>2009</v>
      </c>
      <c r="BF11" s="1047" t="s">
        <v>1434</v>
      </c>
      <c r="BH11" s="998" t="s">
        <v>1435</v>
      </c>
      <c r="BJ11" s="998" t="s">
        <v>1405</v>
      </c>
      <c r="BL11" s="998" t="s">
        <v>1405</v>
      </c>
      <c r="BN11" s="998" t="s">
        <v>1436</v>
      </c>
      <c r="BQ11" s="1208">
        <v>4213780</v>
      </c>
      <c r="BR11" s="998" t="s">
        <v>193</v>
      </c>
      <c r="BS11" s="1356"/>
      <c r="BW11" s="1617"/>
      <c r="BX11" s="1617"/>
    </row>
    <row r="12" spans="1:79" ht="11.25" customHeight="1">
      <c r="A12" s="1004" t="s">
        <v>1437</v>
      </c>
      <c r="B12" s="1005">
        <v>2010</v>
      </c>
      <c r="E12" s="1006" t="s">
        <v>1438</v>
      </c>
      <c r="F12" s="1022"/>
      <c r="G12" s="1006" t="s">
        <v>1426</v>
      </c>
      <c r="I12" s="1006" t="s">
        <v>151</v>
      </c>
      <c r="J12" s="1007" t="s">
        <v>1439</v>
      </c>
      <c r="K12" s="1028" t="s">
        <v>1440</v>
      </c>
      <c r="O12" s="1007" t="s">
        <v>454</v>
      </c>
      <c r="V12" s="307" t="s">
        <v>151</v>
      </c>
      <c r="W12" s="1019"/>
      <c r="X12" s="1014" t="s">
        <v>1441</v>
      </c>
      <c r="Y12" s="1005" t="s">
        <v>1237</v>
      </c>
      <c r="AP12" s="1017"/>
      <c r="AW12" s="1047" t="s">
        <v>150</v>
      </c>
      <c r="AX12" s="1047" t="s">
        <v>150</v>
      </c>
      <c r="AZ12" s="1047" t="s">
        <v>1442</v>
      </c>
      <c r="BB12" s="1047" t="s">
        <v>1443</v>
      </c>
      <c r="BC12" s="1047" t="s">
        <v>1336</v>
      </c>
      <c r="BE12" s="1047">
        <v>2010</v>
      </c>
      <c r="BF12" s="1047" t="s">
        <v>1444</v>
      </c>
      <c r="BH12" s="998" t="s">
        <v>1445</v>
      </c>
      <c r="BJ12" s="998" t="s">
        <v>1446</v>
      </c>
      <c r="BL12" s="998" t="s">
        <v>1446</v>
      </c>
      <c r="BN12" s="998" t="s">
        <v>1447</v>
      </c>
      <c r="BQ12" s="1208">
        <v>4213779</v>
      </c>
      <c r="BR12" s="998" t="s">
        <v>1400</v>
      </c>
      <c r="BS12" s="1356"/>
      <c r="BT12" s="1000"/>
      <c r="BU12" s="1000"/>
      <c r="BV12" s="1000"/>
      <c r="BW12" s="1617"/>
      <c r="BX12" s="1617"/>
    </row>
    <row r="13" spans="1:79" ht="11.25" customHeight="1">
      <c r="A13" s="1004" t="s">
        <v>1448</v>
      </c>
      <c r="B13" s="1005">
        <v>2011</v>
      </c>
      <c r="E13" s="1006" t="s">
        <v>1449</v>
      </c>
      <c r="F13" s="1022"/>
      <c r="I13" s="1006" t="s">
        <v>152</v>
      </c>
      <c r="K13" s="1028" t="s">
        <v>1399</v>
      </c>
      <c r="V13" s="307" t="s">
        <v>152</v>
      </c>
      <c r="W13" s="1019"/>
      <c r="X13" s="1019"/>
      <c r="Y13" s="1019"/>
      <c r="AW13" s="1047" t="s">
        <v>151</v>
      </c>
      <c r="AX13" s="1047" t="s">
        <v>151</v>
      </c>
      <c r="BB13" s="1047" t="s">
        <v>1450</v>
      </c>
      <c r="BC13" s="1047" t="s">
        <v>1451</v>
      </c>
      <c r="BE13" s="1047">
        <v>2011</v>
      </c>
      <c r="BF13" s="1047" t="s">
        <v>1452</v>
      </c>
      <c r="BH13" s="998" t="s">
        <v>1453</v>
      </c>
      <c r="BJ13" s="998" t="s">
        <v>1435</v>
      </c>
      <c r="BL13" s="998" t="s">
        <v>1435</v>
      </c>
      <c r="BN13" s="998" t="s">
        <v>1454</v>
      </c>
      <c r="BQ13" s="1208">
        <v>4213783</v>
      </c>
      <c r="BR13" s="998" t="s">
        <v>1414</v>
      </c>
      <c r="BS13" s="1356"/>
      <c r="BT13" s="1000"/>
      <c r="BU13" s="1000"/>
      <c r="BV13" s="1000"/>
      <c r="BW13" s="1621"/>
      <c r="BX13" s="1617"/>
    </row>
    <row r="14" spans="1:79" ht="11.25" customHeight="1">
      <c r="A14" s="1004" t="s">
        <v>1455</v>
      </c>
      <c r="B14" s="1005">
        <v>2012</v>
      </c>
      <c r="I14" s="1006" t="s">
        <v>153</v>
      </c>
      <c r="J14" s="997" t="s">
        <v>1456</v>
      </c>
      <c r="N14" s="997" t="s">
        <v>1457</v>
      </c>
      <c r="V14" s="1013">
        <v>13</v>
      </c>
      <c r="W14" s="1014"/>
      <c r="X14" s="1014" t="s">
        <v>1268</v>
      </c>
      <c r="Y14" s="1005" t="s">
        <v>1237</v>
      </c>
      <c r="AW14" s="1047" t="s">
        <v>152</v>
      </c>
      <c r="AX14" s="1047" t="s">
        <v>152</v>
      </c>
      <c r="AZ14" s="997" t="s">
        <v>1458</v>
      </c>
      <c r="BB14" s="1047" t="s">
        <v>1459</v>
      </c>
      <c r="BC14" s="1047" t="s">
        <v>1451</v>
      </c>
      <c r="BE14" s="1047">
        <v>2012</v>
      </c>
      <c r="BH14" s="998" t="s">
        <v>1376</v>
      </c>
      <c r="BJ14" s="1144" t="s">
        <v>1460</v>
      </c>
      <c r="BL14" s="1144" t="s">
        <v>1460</v>
      </c>
      <c r="BN14" s="998" t="s">
        <v>1461</v>
      </c>
      <c r="BQ14" s="1208">
        <v>4213782</v>
      </c>
      <c r="BR14" s="998" t="s">
        <v>199</v>
      </c>
      <c r="BS14" s="1356"/>
      <c r="BT14" s="1000"/>
      <c r="BU14" s="1000"/>
      <c r="BV14" s="1000"/>
      <c r="BW14" s="1621"/>
      <c r="BX14" s="1617"/>
    </row>
    <row r="15" spans="1:79" ht="19.5" customHeight="1">
      <c r="A15" s="1004" t="s">
        <v>1462</v>
      </c>
      <c r="B15" s="1005">
        <v>2013</v>
      </c>
      <c r="E15" s="1625" t="s">
        <v>1463</v>
      </c>
      <c r="G15" s="997" t="s">
        <v>1464</v>
      </c>
      <c r="H15" s="997" t="s">
        <v>1465</v>
      </c>
      <c r="I15" s="1008" t="s">
        <v>154</v>
      </c>
      <c r="J15" s="1019" t="s">
        <v>592</v>
      </c>
      <c r="N15" s="1085" t="s">
        <v>1466</v>
      </c>
      <c r="X15" s="1017"/>
      <c r="AW15" s="1047" t="s">
        <v>153</v>
      </c>
      <c r="AX15" s="1047" t="s">
        <v>153</v>
      </c>
      <c r="AZ15" s="1047" t="s">
        <v>1387</v>
      </c>
      <c r="BB15" s="1047" t="s">
        <v>1467</v>
      </c>
      <c r="BC15" s="1047" t="s">
        <v>1451</v>
      </c>
      <c r="BE15" s="1047">
        <v>2013</v>
      </c>
      <c r="BH15" s="998" t="s">
        <v>1392</v>
      </c>
      <c r="BJ15" s="1144" t="s">
        <v>1468</v>
      </c>
      <c r="BL15" s="1144" t="s">
        <v>1468</v>
      </c>
      <c r="BN15" s="998" t="s">
        <v>1469</v>
      </c>
      <c r="BR15" s="1000"/>
      <c r="BS15" s="1358"/>
      <c r="BT15" s="1000"/>
      <c r="BU15" s="1000"/>
      <c r="BV15" s="1000"/>
      <c r="BW15" s="1621"/>
      <c r="BX15" s="1617"/>
    </row>
    <row r="16" spans="1:79" ht="21" customHeight="1">
      <c r="A16" s="1795" t="s">
        <v>1470</v>
      </c>
      <c r="B16" s="1005">
        <v>2014</v>
      </c>
      <c r="E16" s="1626" t="s">
        <v>1471</v>
      </c>
      <c r="G16" s="1006" t="s">
        <v>1472</v>
      </c>
      <c r="H16" s="1006" t="s">
        <v>1473</v>
      </c>
      <c r="I16" s="1008" t="s">
        <v>1474</v>
      </c>
      <c r="J16" s="1019" t="s">
        <v>565</v>
      </c>
      <c r="N16" s="1085" t="s">
        <v>1475</v>
      </c>
      <c r="AW16" s="1047" t="s">
        <v>154</v>
      </c>
      <c r="AX16" s="1047" t="s">
        <v>154</v>
      </c>
      <c r="AZ16" s="1047" t="s">
        <v>1402</v>
      </c>
      <c r="BB16" s="1047" t="s">
        <v>1476</v>
      </c>
      <c r="BC16" s="1047" t="s">
        <v>1451</v>
      </c>
      <c r="BE16" s="1047">
        <v>2014</v>
      </c>
      <c r="BH16" s="998" t="s">
        <v>1407</v>
      </c>
      <c r="BJ16" s="1144" t="s">
        <v>1477</v>
      </c>
      <c r="BL16" s="1144" t="s">
        <v>1477</v>
      </c>
      <c r="BN16" s="998" t="s">
        <v>1478</v>
      </c>
      <c r="BR16" s="1000"/>
      <c r="BS16" s="1358"/>
      <c r="BT16" s="1000"/>
      <c r="BU16" s="1000"/>
      <c r="BV16" s="1000"/>
      <c r="BW16" s="1621"/>
      <c r="BX16" s="1617"/>
    </row>
    <row r="17" spans="1:82" ht="21" customHeight="1">
      <c r="A17" s="1004" t="s">
        <v>1479</v>
      </c>
      <c r="B17" s="1005">
        <v>2015</v>
      </c>
      <c r="G17" s="1006" t="s">
        <v>1426</v>
      </c>
      <c r="H17" s="1006" t="s">
        <v>1426</v>
      </c>
      <c r="I17" s="1006" t="s">
        <v>1480</v>
      </c>
      <c r="N17" s="1085" t="s">
        <v>1481</v>
      </c>
      <c r="X17" s="1017"/>
      <c r="AW17" s="1047" t="s">
        <v>1474</v>
      </c>
      <c r="AX17" s="1047" t="s">
        <v>1474</v>
      </c>
      <c r="AZ17" s="1047" t="s">
        <v>1482</v>
      </c>
      <c r="BB17" s="1047" t="s">
        <v>1483</v>
      </c>
      <c r="BC17" s="1047" t="s">
        <v>1336</v>
      </c>
      <c r="BE17" s="1047">
        <v>2015</v>
      </c>
      <c r="BH17" s="998" t="s">
        <v>1422</v>
      </c>
      <c r="BJ17" s="1144" t="s">
        <v>1484</v>
      </c>
      <c r="BL17" s="1144" t="s">
        <v>1484</v>
      </c>
      <c r="BN17" s="998" t="s">
        <v>1485</v>
      </c>
      <c r="BR17" s="997" t="s">
        <v>1279</v>
      </c>
      <c r="BS17" s="1355"/>
      <c r="BU17" s="997" t="s">
        <v>1486</v>
      </c>
      <c r="BV17" s="1000"/>
      <c r="BW17" s="1617"/>
      <c r="BX17" s="1619" t="s">
        <v>1487</v>
      </c>
      <c r="CA17" s="997" t="s">
        <v>1488</v>
      </c>
      <c r="CD17" s="997" t="s">
        <v>1489</v>
      </c>
    </row>
    <row r="18" spans="1:82" ht="21" customHeight="1">
      <c r="A18" s="1004" t="s">
        <v>1490</v>
      </c>
      <c r="B18" s="1005">
        <v>2016</v>
      </c>
      <c r="E18" s="1927" t="s">
        <v>1491</v>
      </c>
      <c r="I18" s="1006" t="s">
        <v>1492</v>
      </c>
      <c r="N18" s="1085" t="s">
        <v>1493</v>
      </c>
      <c r="X18" s="1017"/>
      <c r="AW18" s="1047" t="s">
        <v>1480</v>
      </c>
      <c r="AX18" s="1047" t="s">
        <v>1480</v>
      </c>
      <c r="BB18" s="1047" t="s">
        <v>1494</v>
      </c>
      <c r="BC18" s="1047" t="s">
        <v>1336</v>
      </c>
      <c r="BE18" s="1047">
        <v>2016</v>
      </c>
      <c r="BH18" s="998" t="s">
        <v>1436</v>
      </c>
      <c r="BJ18" s="1144" t="s">
        <v>1495</v>
      </c>
      <c r="BL18" s="1144" t="s">
        <v>1495</v>
      </c>
      <c r="BN18" s="998" t="s">
        <v>1496</v>
      </c>
      <c r="BQ18" s="1359" t="s">
        <v>1309</v>
      </c>
      <c r="BR18" s="1086" t="s">
        <v>1310</v>
      </c>
      <c r="BS18" s="212"/>
      <c r="BT18" s="1359" t="s">
        <v>1497</v>
      </c>
      <c r="BU18" s="1086" t="s">
        <v>1498</v>
      </c>
      <c r="BV18" s="1000"/>
      <c r="BW18" s="1624" t="s">
        <v>1499</v>
      </c>
      <c r="BX18" s="1618" t="s">
        <v>1500</v>
      </c>
      <c r="BZ18" s="1359" t="s">
        <v>1501</v>
      </c>
      <c r="CA18" s="1086" t="s">
        <v>1502</v>
      </c>
      <c r="CC18" s="1359" t="s">
        <v>1503</v>
      </c>
      <c r="CD18" s="1086" t="s">
        <v>1504</v>
      </c>
    </row>
    <row r="19" spans="1:82" ht="21" customHeight="1">
      <c r="A19" s="1795" t="s">
        <v>1505</v>
      </c>
      <c r="B19" s="1005">
        <v>2017</v>
      </c>
      <c r="E19" s="1004" t="s">
        <v>161</v>
      </c>
      <c r="I19" s="1006" t="s">
        <v>1506</v>
      </c>
      <c r="N19" s="1085" t="s">
        <v>1507</v>
      </c>
      <c r="X19" s="1017"/>
      <c r="AW19" s="1047" t="s">
        <v>1492</v>
      </c>
      <c r="AX19" s="1047" t="s">
        <v>1492</v>
      </c>
      <c r="AZ19" s="997" t="s">
        <v>1508</v>
      </c>
      <c r="BB19" s="1047" t="s">
        <v>1509</v>
      </c>
      <c r="BC19" s="1047" t="s">
        <v>1336</v>
      </c>
      <c r="BE19" s="1047">
        <v>2017</v>
      </c>
      <c r="BH19" s="998" t="s">
        <v>1510</v>
      </c>
      <c r="BJ19" s="1144" t="s">
        <v>1511</v>
      </c>
      <c r="BL19" s="1144" t="s">
        <v>1511</v>
      </c>
      <c r="BQ19" s="1208">
        <v>4190064</v>
      </c>
      <c r="BR19" s="998" t="s">
        <v>1512</v>
      </c>
      <c r="BS19" s="1356"/>
      <c r="BT19" s="1208">
        <v>4189671</v>
      </c>
      <c r="BU19" s="998" t="s">
        <v>1513</v>
      </c>
      <c r="BV19" s="1000"/>
      <c r="BW19" s="1622">
        <v>4189706</v>
      </c>
      <c r="BX19" s="1620" t="s">
        <v>1514</v>
      </c>
      <c r="BZ19" s="1208">
        <v>4189714</v>
      </c>
      <c r="CA19" s="998" t="s">
        <v>1515</v>
      </c>
      <c r="CC19" s="1208">
        <v>4189708</v>
      </c>
      <c r="CD19" s="998" t="s">
        <v>1516</v>
      </c>
    </row>
    <row r="20" spans="1:82" ht="21" customHeight="1">
      <c r="A20" s="1004" t="s">
        <v>1517</v>
      </c>
      <c r="B20" s="1005">
        <v>2018</v>
      </c>
      <c r="E20" s="1004" t="s">
        <v>1268</v>
      </c>
      <c r="I20" s="1006" t="s">
        <v>1518</v>
      </c>
      <c r="N20" s="1085" t="s">
        <v>1519</v>
      </c>
      <c r="AW20" s="1047" t="s">
        <v>1506</v>
      </c>
      <c r="AX20" s="1047" t="s">
        <v>1506</v>
      </c>
      <c r="AZ20" s="1047" t="s">
        <v>1520</v>
      </c>
      <c r="BB20" s="1047" t="s">
        <v>1521</v>
      </c>
      <c r="BC20" s="1047" t="s">
        <v>1451</v>
      </c>
      <c r="BE20" s="1047">
        <v>2018</v>
      </c>
      <c r="BH20" s="998" t="s">
        <v>1447</v>
      </c>
      <c r="BJ20" s="998" t="s">
        <v>1376</v>
      </c>
      <c r="BL20" s="998" t="s">
        <v>1376</v>
      </c>
      <c r="BQ20" s="1208">
        <v>4190065</v>
      </c>
      <c r="BR20" s="998" t="s">
        <v>1522</v>
      </c>
      <c r="BS20" s="1356"/>
      <c r="BT20" s="1208">
        <v>4189672</v>
      </c>
      <c r="BU20" s="998" t="s">
        <v>1523</v>
      </c>
      <c r="BV20" s="1000"/>
      <c r="BW20" s="1622">
        <v>4189705</v>
      </c>
      <c r="BX20" s="1620" t="s">
        <v>1524</v>
      </c>
      <c r="BZ20" s="1208">
        <v>4189713</v>
      </c>
      <c r="CA20" s="998" t="s">
        <v>1524</v>
      </c>
      <c r="CC20" s="1208">
        <v>4189709</v>
      </c>
      <c r="CD20" s="998" t="s">
        <v>1525</v>
      </c>
    </row>
    <row r="21" spans="1:82" ht="21" customHeight="1">
      <c r="A21" s="1004" t="s">
        <v>1526</v>
      </c>
      <c r="B21" s="1005">
        <v>2019</v>
      </c>
      <c r="I21" s="1006" t="s">
        <v>1527</v>
      </c>
      <c r="N21" s="1085" t="s">
        <v>1528</v>
      </c>
      <c r="AW21" s="1047" t="s">
        <v>1518</v>
      </c>
      <c r="AX21" s="1047" t="s">
        <v>1518</v>
      </c>
      <c r="AZ21" s="1047" t="s">
        <v>1529</v>
      </c>
      <c r="BB21" s="1047" t="s">
        <v>1530</v>
      </c>
      <c r="BC21" s="1047" t="s">
        <v>1336</v>
      </c>
      <c r="BE21" s="1047">
        <v>2019</v>
      </c>
      <c r="BH21" s="998" t="s">
        <v>1454</v>
      </c>
      <c r="BJ21" s="998" t="s">
        <v>1392</v>
      </c>
      <c r="BL21" s="998" t="s">
        <v>1392</v>
      </c>
      <c r="BQ21" s="1208">
        <v>4190066</v>
      </c>
      <c r="BR21" s="998" t="s">
        <v>1531</v>
      </c>
      <c r="BS21" s="1356"/>
      <c r="BT21" s="1208">
        <v>4189673</v>
      </c>
      <c r="BU21" s="998" t="s">
        <v>1532</v>
      </c>
      <c r="BV21" s="1000"/>
      <c r="BW21" s="1622">
        <v>4189707</v>
      </c>
      <c r="BX21" s="1620" t="s">
        <v>1533</v>
      </c>
      <c r="BZ21" s="1208">
        <v>4189712</v>
      </c>
      <c r="CA21" s="998" t="s">
        <v>1534</v>
      </c>
      <c r="CC21" s="1208">
        <v>4189710</v>
      </c>
      <c r="CD21" s="998" t="s">
        <v>1535</v>
      </c>
    </row>
    <row r="22" spans="1:82" ht="21" customHeight="1">
      <c r="A22" s="1004" t="s">
        <v>1536</v>
      </c>
      <c r="B22" s="1005">
        <v>2020</v>
      </c>
      <c r="N22" s="1085" t="s">
        <v>1537</v>
      </c>
      <c r="AW22" s="1047" t="s">
        <v>1527</v>
      </c>
      <c r="AX22" s="1047" t="s">
        <v>1527</v>
      </c>
      <c r="AZ22" s="1047" t="s">
        <v>1538</v>
      </c>
      <c r="BB22" s="1047" t="s">
        <v>1539</v>
      </c>
      <c r="BC22" s="1047" t="s">
        <v>1336</v>
      </c>
      <c r="BE22" s="1047">
        <v>2020</v>
      </c>
      <c r="BH22" s="998" t="s">
        <v>1461</v>
      </c>
      <c r="BJ22" s="998" t="s">
        <v>1407</v>
      </c>
      <c r="BL22" s="998" t="s">
        <v>1407</v>
      </c>
      <c r="BQ22" s="1208">
        <v>4190067</v>
      </c>
      <c r="BR22" s="998" t="s">
        <v>1540</v>
      </c>
      <c r="BS22" s="1356"/>
      <c r="BT22" s="1208">
        <v>4189674</v>
      </c>
      <c r="BU22" s="998" t="s">
        <v>1541</v>
      </c>
      <c r="BV22" s="1000"/>
      <c r="BW22" s="1000"/>
      <c r="CC22" s="1208">
        <v>4189711</v>
      </c>
      <c r="CD22" s="998" t="s">
        <v>300</v>
      </c>
    </row>
    <row r="23" spans="1:82" ht="21" customHeight="1">
      <c r="A23" s="1004" t="s">
        <v>1542</v>
      </c>
      <c r="B23" s="1005">
        <v>2021</v>
      </c>
      <c r="AW23" s="1047" t="s">
        <v>1543</v>
      </c>
      <c r="AX23" s="1047" t="s">
        <v>1543</v>
      </c>
      <c r="AZ23" s="1047" t="s">
        <v>1544</v>
      </c>
      <c r="BB23" s="1047" t="s">
        <v>1545</v>
      </c>
      <c r="BC23" s="1047" t="s">
        <v>1247</v>
      </c>
      <c r="BE23" s="1047">
        <v>2021</v>
      </c>
      <c r="BH23" s="998" t="s">
        <v>1469</v>
      </c>
      <c r="BJ23" s="998" t="s">
        <v>1422</v>
      </c>
      <c r="BL23" s="998" t="s">
        <v>1422</v>
      </c>
      <c r="BQ23" s="1208">
        <v>4190068</v>
      </c>
      <c r="BR23" s="998" t="s">
        <v>1546</v>
      </c>
      <c r="BS23" s="1356"/>
      <c r="BT23" s="1208">
        <v>4189675</v>
      </c>
      <c r="BU23" s="998" t="s">
        <v>1547</v>
      </c>
      <c r="BV23" s="1000"/>
      <c r="BW23" s="1000"/>
      <c r="CC23" s="1208">
        <v>5110778</v>
      </c>
      <c r="CD23" s="998" t="s">
        <v>1548</v>
      </c>
    </row>
    <row r="24" spans="1:82" ht="21" customHeight="1">
      <c r="A24" s="1004" t="s">
        <v>1549</v>
      </c>
      <c r="B24" s="1005">
        <v>2022</v>
      </c>
      <c r="AW24" s="1047" t="s">
        <v>1550</v>
      </c>
      <c r="AX24" s="1047" t="s">
        <v>1550</v>
      </c>
      <c r="AZ24" s="1047" t="s">
        <v>1551</v>
      </c>
      <c r="BB24" s="1047" t="s">
        <v>1552</v>
      </c>
      <c r="BC24" s="1047" t="s">
        <v>1553</v>
      </c>
      <c r="BE24" s="1047">
        <v>2022</v>
      </c>
      <c r="BH24" s="998" t="s">
        <v>1478</v>
      </c>
      <c r="BJ24" s="998" t="s">
        <v>1436</v>
      </c>
      <c r="BL24" s="998" t="s">
        <v>1436</v>
      </c>
      <c r="BQ24" s="1208">
        <v>4190069</v>
      </c>
      <c r="BR24" s="998" t="s">
        <v>1554</v>
      </c>
      <c r="BS24" s="1356"/>
      <c r="BT24" s="1208">
        <v>4189676</v>
      </c>
      <c r="BU24" s="998" t="s">
        <v>1555</v>
      </c>
      <c r="BV24" s="1000"/>
      <c r="BW24" s="1000"/>
      <c r="CC24" s="1208">
        <v>25575374</v>
      </c>
      <c r="CD24" s="998" t="s">
        <v>1556</v>
      </c>
    </row>
    <row r="25" spans="1:82" ht="11.25" customHeight="1">
      <c r="A25" s="1004" t="s">
        <v>1557</v>
      </c>
      <c r="B25" s="1005">
        <v>2023</v>
      </c>
      <c r="AW25" s="1047" t="s">
        <v>1558</v>
      </c>
      <c r="AX25" s="1047" t="s">
        <v>1558</v>
      </c>
      <c r="AZ25" s="1047" t="s">
        <v>1559</v>
      </c>
      <c r="BB25" s="1047" t="s">
        <v>1560</v>
      </c>
      <c r="BC25" s="1047" t="s">
        <v>1553</v>
      </c>
      <c r="BE25" s="1047">
        <v>2023</v>
      </c>
      <c r="BH25" s="998" t="s">
        <v>1485</v>
      </c>
      <c r="BJ25" s="998" t="s">
        <v>1510</v>
      </c>
      <c r="BL25" s="998" t="s">
        <v>1510</v>
      </c>
      <c r="BQ25" s="1208">
        <v>4190070</v>
      </c>
      <c r="BR25" s="998" t="s">
        <v>1561</v>
      </c>
      <c r="BS25" s="1356"/>
      <c r="BT25" s="1208">
        <v>4189677</v>
      </c>
      <c r="BU25" s="998" t="s">
        <v>1562</v>
      </c>
      <c r="BV25" s="1000"/>
      <c r="BW25" s="1000"/>
    </row>
    <row r="26" spans="1:82" ht="11.25" customHeight="1">
      <c r="A26" s="1004" t="s">
        <v>1563</v>
      </c>
      <c r="B26" s="1005">
        <v>2024</v>
      </c>
      <c r="J26" s="1657" t="s">
        <v>1564</v>
      </c>
      <c r="AX26" s="1047" t="s">
        <v>1565</v>
      </c>
      <c r="AZ26" s="1047" t="s">
        <v>1429</v>
      </c>
      <c r="BB26" s="1047" t="s">
        <v>1566</v>
      </c>
      <c r="BC26" s="1047" t="s">
        <v>1553</v>
      </c>
      <c r="BE26" s="1047">
        <v>2024</v>
      </c>
      <c r="BH26" s="998" t="s">
        <v>1496</v>
      </c>
      <c r="BJ26" s="998" t="s">
        <v>1447</v>
      </c>
      <c r="BL26" s="998" t="s">
        <v>1447</v>
      </c>
      <c r="BQ26" s="1208">
        <v>4190071</v>
      </c>
      <c r="BR26" s="998" t="s">
        <v>1567</v>
      </c>
      <c r="BS26" s="1356"/>
      <c r="BV26" s="1000"/>
      <c r="BW26" s="1000"/>
    </row>
    <row r="27" spans="1:82" ht="11.25" customHeight="1">
      <c r="A27" s="1004" t="s">
        <v>1568</v>
      </c>
      <c r="B27" s="1005">
        <v>2025</v>
      </c>
      <c r="J27" s="114" t="s">
        <v>452</v>
      </c>
      <c r="AX27" s="1047" t="s">
        <v>1569</v>
      </c>
      <c r="BB27" s="1047" t="s">
        <v>1570</v>
      </c>
      <c r="BC27" s="1047" t="s">
        <v>1553</v>
      </c>
      <c r="BE27" s="1047">
        <v>2025</v>
      </c>
      <c r="BH27" s="1000" t="s">
        <v>28</v>
      </c>
      <c r="BJ27" s="998" t="s">
        <v>1454</v>
      </c>
      <c r="BL27" s="998" t="s">
        <v>1454</v>
      </c>
      <c r="BN27" s="1000" t="s">
        <v>28</v>
      </c>
      <c r="BQ27" s="1208">
        <v>4190072</v>
      </c>
      <c r="BR27" s="998" t="s">
        <v>1571</v>
      </c>
      <c r="BS27" s="1356"/>
      <c r="BV27" s="1000"/>
      <c r="BW27" s="1000"/>
    </row>
    <row r="28" spans="1:82" ht="11.25" customHeight="1">
      <c r="A28" s="1004" t="s">
        <v>1572</v>
      </c>
      <c r="D28" s="1029"/>
      <c r="E28" s="1030"/>
      <c r="F28" s="1030"/>
      <c r="H28" s="1031" t="s">
        <v>1573</v>
      </c>
      <c r="AX28" s="1047" t="s">
        <v>1574</v>
      </c>
      <c r="AZ28" s="997" t="s">
        <v>1575</v>
      </c>
      <c r="BB28" s="1047" t="s">
        <v>1576</v>
      </c>
      <c r="BC28" s="1047" t="s">
        <v>1577</v>
      </c>
      <c r="BE28" s="1047">
        <v>2026</v>
      </c>
      <c r="BH28" s="1000" t="s">
        <v>28</v>
      </c>
      <c r="BJ28" s="998" t="s">
        <v>1461</v>
      </c>
      <c r="BL28" s="998" t="s">
        <v>1461</v>
      </c>
      <c r="BN28" s="1000" t="s">
        <v>28</v>
      </c>
      <c r="BQ28" s="1208">
        <v>4190073</v>
      </c>
      <c r="BR28" s="998" t="s">
        <v>1578</v>
      </c>
      <c r="BS28" s="1356"/>
      <c r="BV28" s="1000"/>
      <c r="BW28" s="1000"/>
    </row>
    <row r="29" spans="1:82" ht="11.25" customHeight="1">
      <c r="A29" s="1004" t="s">
        <v>1579</v>
      </c>
      <c r="D29" s="1032" t="s">
        <v>1580</v>
      </c>
      <c r="E29" s="1033" t="str">
        <f>IF(TEMPLATE_GROUP="","",INDEX(StartDateList,MATCH(TEMPLATE_GROUP,CodeTemplateList,0),1))</f>
        <v>01.01.2026</v>
      </c>
      <c r="F29" s="1033" t="str">
        <f>IF(TEMPLATE_GROUP="","",INDEX(EndDateList,MATCH(TEMPLATE_GROUP,CodeTemplateList,0),1))</f>
        <v>31.12.2026</v>
      </c>
      <c r="H29" s="1034" t="s">
        <v>1581</v>
      </c>
      <c r="AX29" s="1047" t="s">
        <v>1582</v>
      </c>
      <c r="AZ29" s="1047" t="s">
        <v>1232</v>
      </c>
      <c r="BB29" s="1047" t="s">
        <v>1429</v>
      </c>
      <c r="BC29" s="1020"/>
      <c r="BE29" s="1047">
        <v>2027</v>
      </c>
      <c r="BJ29" s="998" t="s">
        <v>1469</v>
      </c>
      <c r="BL29" s="998" t="s">
        <v>1469</v>
      </c>
    </row>
    <row r="30" spans="1:82" ht="11.25" customHeight="1">
      <c r="A30" s="1004" t="s">
        <v>1583</v>
      </c>
      <c r="D30" s="1035"/>
      <c r="E30" s="1036"/>
      <c r="F30" s="1036"/>
      <c r="AX30" s="1047" t="s">
        <v>1584</v>
      </c>
      <c r="AZ30" s="1047" t="s">
        <v>1257</v>
      </c>
      <c r="BE30" s="1047">
        <v>2028</v>
      </c>
      <c r="BJ30" s="998" t="s">
        <v>1585</v>
      </c>
      <c r="BL30" s="998" t="s">
        <v>1585</v>
      </c>
    </row>
    <row r="31" spans="1:82" ht="12.75" customHeight="1">
      <c r="A31" s="1004" t="s">
        <v>1586</v>
      </c>
      <c r="D31" s="1029"/>
      <c r="E31" s="1030"/>
      <c r="F31" s="1030"/>
      <c r="H31" s="1037"/>
      <c r="AX31" s="1047" t="s">
        <v>1587</v>
      </c>
      <c r="AZ31" s="1047" t="s">
        <v>455</v>
      </c>
      <c r="BE31" s="1047">
        <v>2029</v>
      </c>
      <c r="BJ31" s="998" t="s">
        <v>1588</v>
      </c>
      <c r="BL31" s="998" t="s">
        <v>1588</v>
      </c>
    </row>
    <row r="32" spans="1:82" ht="11.25" customHeight="1">
      <c r="A32" s="1004" t="s">
        <v>1589</v>
      </c>
      <c r="D32" s="1032" t="s">
        <v>1590</v>
      </c>
      <c r="E32" s="1033" t="str">
        <f>IF(TEMPLATE_GROUP="","",INDEX(StartDateList,MATCH(TEMPLATE_GROUP,CodeTemplateList,0),1))</f>
        <v>01.01.2026</v>
      </c>
      <c r="F32" s="1033" t="str">
        <f>IF(TEMPLATE_GROUP="","",INDEX(EndDateList,MATCH(TEMPLATE_GROUP,CodeTemplateList,0),1))</f>
        <v>31.12.2026</v>
      </c>
      <c r="H32" s="1038" t="s">
        <v>1591</v>
      </c>
      <c r="O32" s="1004" t="s">
        <v>1230</v>
      </c>
      <c r="AX32" s="1047" t="s">
        <v>1592</v>
      </c>
      <c r="AZ32" s="1047" t="s">
        <v>457</v>
      </c>
      <c r="BE32" s="1047">
        <v>2030</v>
      </c>
      <c r="BJ32" s="998" t="s">
        <v>1478</v>
      </c>
      <c r="BL32" s="998" t="s">
        <v>1478</v>
      </c>
    </row>
    <row r="33" spans="1:66" ht="11.25" customHeight="1">
      <c r="A33" s="1004" t="s">
        <v>16</v>
      </c>
      <c r="O33" s="1004" t="s">
        <v>1255</v>
      </c>
      <c r="AX33" s="1047" t="s">
        <v>1593</v>
      </c>
      <c r="AZ33" s="1047" t="s">
        <v>454</v>
      </c>
      <c r="BE33" s="1047">
        <v>2031</v>
      </c>
      <c r="BJ33" s="998" t="s">
        <v>1485</v>
      </c>
      <c r="BL33" s="998" t="s">
        <v>1485</v>
      </c>
    </row>
    <row r="34" spans="1:66" ht="11.25" customHeight="1">
      <c r="A34" s="1004" t="s">
        <v>1594</v>
      </c>
      <c r="O34" s="1004" t="s">
        <v>1290</v>
      </c>
      <c r="AX34" s="1047" t="s">
        <v>1595</v>
      </c>
      <c r="BE34" s="1047">
        <v>2032</v>
      </c>
      <c r="BJ34" s="998" t="s">
        <v>1496</v>
      </c>
      <c r="BL34" s="998" t="s">
        <v>1496</v>
      </c>
    </row>
    <row r="35" spans="1:66" ht="11.25" customHeight="1">
      <c r="A35" s="1004" t="s">
        <v>1596</v>
      </c>
      <c r="O35" s="1004" t="s">
        <v>1323</v>
      </c>
      <c r="AX35" s="1047" t="s">
        <v>1597</v>
      </c>
      <c r="AZ35" s="997" t="s">
        <v>1598</v>
      </c>
      <c r="BE35" s="1047">
        <v>2033</v>
      </c>
      <c r="BL35" s="998" t="s">
        <v>1599</v>
      </c>
    </row>
    <row r="36" spans="1:66" ht="11.25" customHeight="1">
      <c r="A36" s="1795" t="s">
        <v>1600</v>
      </c>
      <c r="D36" s="1039" t="s">
        <v>1601</v>
      </c>
      <c r="E36" s="1040" t="s">
        <v>816</v>
      </c>
      <c r="F36" s="1041" t="str">
        <f>INDEX(E37:E41,MATCH(TEMPLATE_SPHERE,F37:F41,0))</f>
        <v>теплоснабжения</v>
      </c>
      <c r="G36" s="1041" t="str">
        <f>INDEX(G37:G41,MATCH(TEMPLATE_SPHERE,F37:F41,0))</f>
        <v>теплоснабжение</v>
      </c>
      <c r="O36" s="1004" t="s">
        <v>1347</v>
      </c>
      <c r="AX36" s="1047" t="s">
        <v>1602</v>
      </c>
      <c r="AZ36" s="1047" t="s">
        <v>454</v>
      </c>
      <c r="BE36" s="1047">
        <v>2034</v>
      </c>
      <c r="BL36" s="998" t="s">
        <v>1603</v>
      </c>
    </row>
    <row r="37" spans="1:66" ht="11.25" customHeight="1">
      <c r="A37" s="1004" t="s">
        <v>1604</v>
      </c>
      <c r="E37" s="344" t="s">
        <v>1605</v>
      </c>
      <c r="F37" s="1042" t="s">
        <v>816</v>
      </c>
      <c r="G37" s="344" t="s">
        <v>1606</v>
      </c>
      <c r="O37" s="1004" t="s">
        <v>1366</v>
      </c>
      <c r="AX37" s="1047" t="s">
        <v>1607</v>
      </c>
      <c r="AZ37" s="1047" t="s">
        <v>1256</v>
      </c>
      <c r="BE37" s="1047">
        <v>2035</v>
      </c>
    </row>
    <row r="38" spans="1:66" ht="11.25" customHeight="1">
      <c r="A38" s="1004" t="s">
        <v>1608</v>
      </c>
      <c r="E38" s="344" t="s">
        <v>1609</v>
      </c>
      <c r="F38" s="1043" t="s">
        <v>862</v>
      </c>
      <c r="G38" s="344" t="s">
        <v>1610</v>
      </c>
      <c r="O38" s="1004" t="s">
        <v>1383</v>
      </c>
      <c r="AX38" s="1047" t="s">
        <v>1611</v>
      </c>
      <c r="AZ38" s="1047" t="s">
        <v>1291</v>
      </c>
      <c r="BE38" s="1047">
        <v>2036</v>
      </c>
      <c r="BH38" s="997" t="s">
        <v>1612</v>
      </c>
      <c r="BJ38" s="997" t="s">
        <v>1613</v>
      </c>
      <c r="BL38" s="997" t="s">
        <v>1614</v>
      </c>
      <c r="BN38" s="997" t="s">
        <v>1615</v>
      </c>
    </row>
    <row r="39" spans="1:66" ht="11.25" customHeight="1">
      <c r="A39" s="1004" t="s">
        <v>1616</v>
      </c>
      <c r="E39" s="344" t="s">
        <v>1617</v>
      </c>
      <c r="F39" s="1043" t="s">
        <v>915</v>
      </c>
      <c r="G39" s="344" t="s">
        <v>1618</v>
      </c>
      <c r="O39" s="1004" t="s">
        <v>456</v>
      </c>
      <c r="AX39" s="1047" t="s">
        <v>1619</v>
      </c>
      <c r="AZ39" s="1047" t="s">
        <v>1324</v>
      </c>
      <c r="BE39" s="1047">
        <v>2037</v>
      </c>
      <c r="BH39" s="998" t="s">
        <v>1620</v>
      </c>
      <c r="BJ39" s="1144" t="s">
        <v>1620</v>
      </c>
      <c r="BL39" s="1144" t="s">
        <v>1620</v>
      </c>
      <c r="BN39" s="998" t="s">
        <v>1621</v>
      </c>
    </row>
    <row r="40" spans="1:66" ht="11.25" customHeight="1">
      <c r="A40" s="1004" t="s">
        <v>1622</v>
      </c>
      <c r="E40" s="344" t="s">
        <v>1623</v>
      </c>
      <c r="F40" s="1043" t="s">
        <v>902</v>
      </c>
      <c r="G40" s="344" t="s">
        <v>1624</v>
      </c>
      <c r="O40" s="1004" t="s">
        <v>472</v>
      </c>
      <c r="AX40" s="1047" t="s">
        <v>1625</v>
      </c>
      <c r="BE40" s="1047">
        <v>2038</v>
      </c>
      <c r="BH40" s="998" t="s">
        <v>1626</v>
      </c>
      <c r="BJ40" s="1144" t="s">
        <v>1035</v>
      </c>
      <c r="BL40" s="1144" t="s">
        <v>1035</v>
      </c>
      <c r="BN40" s="998" t="s">
        <v>1069</v>
      </c>
    </row>
    <row r="41" spans="1:66" ht="11.25" customHeight="1">
      <c r="A41" s="1004" t="s">
        <v>1627</v>
      </c>
      <c r="E41" s="344" t="s">
        <v>1628</v>
      </c>
      <c r="F41" s="1043" t="s">
        <v>1629</v>
      </c>
      <c r="G41" s="344" t="s">
        <v>1628</v>
      </c>
      <c r="O41" s="1004" t="s">
        <v>1429</v>
      </c>
      <c r="AX41" s="1047" t="s">
        <v>1630</v>
      </c>
      <c r="AZ41" s="997" t="s">
        <v>1631</v>
      </c>
      <c r="BE41" s="1047">
        <v>2039</v>
      </c>
      <c r="BH41" s="998" t="s">
        <v>1632</v>
      </c>
      <c r="BJ41" s="1144" t="s">
        <v>1031</v>
      </c>
      <c r="BL41" s="1144" t="s">
        <v>1031</v>
      </c>
      <c r="BN41" s="998" t="s">
        <v>1056</v>
      </c>
    </row>
    <row r="42" spans="1:66" ht="11.25" customHeight="1">
      <c r="A42" s="1004" t="s">
        <v>1633</v>
      </c>
      <c r="AX42" s="1047" t="s">
        <v>1634</v>
      </c>
      <c r="AZ42" s="1047" t="s">
        <v>1230</v>
      </c>
      <c r="BE42" s="1047">
        <v>2040</v>
      </c>
      <c r="BH42" s="998" t="s">
        <v>1053</v>
      </c>
      <c r="BJ42" s="1144" t="s">
        <v>1033</v>
      </c>
      <c r="BL42" s="1144" t="s">
        <v>1033</v>
      </c>
      <c r="BN42" s="998" t="s">
        <v>1635</v>
      </c>
    </row>
    <row r="43" spans="1:66" ht="11.25" customHeight="1">
      <c r="A43" s="1004" t="s">
        <v>1636</v>
      </c>
      <c r="AX43" s="1047" t="s">
        <v>1637</v>
      </c>
      <c r="AZ43" s="1047" t="s">
        <v>1255</v>
      </c>
      <c r="BE43" s="1047">
        <v>2041</v>
      </c>
      <c r="BH43" s="998" t="s">
        <v>1638</v>
      </c>
      <c r="BJ43" s="1144" t="s">
        <v>1632</v>
      </c>
      <c r="BL43" s="1144" t="s">
        <v>1632</v>
      </c>
      <c r="BN43" s="998" t="s">
        <v>1639</v>
      </c>
    </row>
    <row r="44" spans="1:66" ht="11.25" customHeight="1">
      <c r="A44" s="1004" t="s">
        <v>1640</v>
      </c>
      <c r="G44" s="1023">
        <f ca="1">YEAR(TODAY())</f>
        <v>2025</v>
      </c>
      <c r="I44" s="730" t="s">
        <v>1641</v>
      </c>
      <c r="J44" s="1019" t="s">
        <v>1642</v>
      </c>
      <c r="K44" s="1019" t="s">
        <v>1643</v>
      </c>
      <c r="AX44" s="1047" t="s">
        <v>1644</v>
      </c>
      <c r="AZ44" s="1047" t="s">
        <v>1290</v>
      </c>
      <c r="BE44" s="1047">
        <v>2042</v>
      </c>
      <c r="BH44" s="998" t="s">
        <v>1645</v>
      </c>
      <c r="BJ44" s="1144" t="s">
        <v>1053</v>
      </c>
      <c r="BL44" s="1144" t="s">
        <v>1053</v>
      </c>
      <c r="BN44" s="998" t="s">
        <v>1646</v>
      </c>
    </row>
    <row r="45" spans="1:66" ht="11.25" customHeight="1">
      <c r="A45" s="1004" t="s">
        <v>1647</v>
      </c>
      <c r="D45" s="1039" t="s">
        <v>1648</v>
      </c>
      <c r="E45" s="1040" t="s">
        <v>1649</v>
      </c>
      <c r="F45" s="728" t="s">
        <v>1650</v>
      </c>
      <c r="G45" s="727" t="s">
        <v>1651</v>
      </c>
      <c r="H45" s="730" t="s">
        <v>1652</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1653</v>
      </c>
      <c r="AZ45" s="1047" t="s">
        <v>1323</v>
      </c>
      <c r="BE45" s="1047">
        <v>2043</v>
      </c>
      <c r="BH45" s="998" t="s">
        <v>1654</v>
      </c>
      <c r="BJ45" s="1144" t="s">
        <v>1047</v>
      </c>
      <c r="BL45" s="1144" t="s">
        <v>1047</v>
      </c>
      <c r="BN45" s="998" t="s">
        <v>1655</v>
      </c>
    </row>
    <row r="46" spans="1:66" ht="11.25" customHeight="1">
      <c r="A46" s="1004" t="s">
        <v>1656</v>
      </c>
      <c r="E46" s="344" t="s">
        <v>26</v>
      </c>
      <c r="F46" s="1042" t="s">
        <v>1657</v>
      </c>
      <c r="G46" s="1044" t="str">
        <f ca="1">IFERROR(IF(TITLE_DATE_FIL="","01.01."&amp;CURRENT_YEAR,"01.01."&amp;YEAR(TITLE_DATE_FIL)),"01.01."&amp;CURRENT_YEAR)</f>
        <v>01.01.2025</v>
      </c>
      <c r="H46" s="1044"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1658</v>
      </c>
      <c r="AZ46" s="1047" t="s">
        <v>1347</v>
      </c>
      <c r="BE46" s="1047">
        <v>2044</v>
      </c>
      <c r="BH46" s="998" t="s">
        <v>1056</v>
      </c>
      <c r="BJ46" s="1144" t="s">
        <v>1037</v>
      </c>
      <c r="BL46" s="1144" t="s">
        <v>1037</v>
      </c>
      <c r="BN46" s="998" t="s">
        <v>1659</v>
      </c>
    </row>
    <row r="47" spans="1:66" ht="11.25" customHeight="1">
      <c r="A47" s="1004" t="s">
        <v>1660</v>
      </c>
      <c r="E47" s="344" t="s">
        <v>33</v>
      </c>
      <c r="F47" s="1043" t="s">
        <v>1661</v>
      </c>
      <c r="G47" s="1044" t="str">
        <f ca="1">IFERROR(IF(f_year="","01.01."&amp;CURRENT_YEAR,IF(LEN(f_quart)=0,"01.01."&amp;f_year,IF(f_quart="I квартал","01.01."&amp;f_year,IF(f_quart="II квартал","01.04."&amp;f_year,(IF(f_quart="III квартал","01.07."&amp;f_year,"01.10."&amp;f_year)))))),"01.01."&amp;CURRENT_YEAR)</f>
        <v>01.01.2025</v>
      </c>
      <c r="H47" s="1044" t="str">
        <f ca="1">IFERROR(IF(f_year="","31.12."&amp;CURRENT_YEAR,IF(LEN(f_quart)=0,"31.12."&amp;f_year,IF(f_quart="I квартал","31.03."&amp;f_year,IF(f_quart="II квартал","30.06."&amp;f_year,(IF(f_quart="III квартал","30.09."&amp;f_year,"31.12."&amp;f_year)))))),"31.12."&amp;CURRENT_YEAR)</f>
        <v>31.12.2025</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1662</v>
      </c>
      <c r="AZ47" s="1047" t="s">
        <v>1366</v>
      </c>
      <c r="BE47" s="1047">
        <v>2045</v>
      </c>
      <c r="BH47" s="998" t="s">
        <v>1635</v>
      </c>
      <c r="BJ47" s="1144" t="s">
        <v>1039</v>
      </c>
      <c r="BL47" s="1144" t="s">
        <v>1039</v>
      </c>
      <c r="BN47" s="998" t="s">
        <v>1663</v>
      </c>
    </row>
    <row r="48" spans="1:66" ht="11.25" customHeight="1">
      <c r="A48" s="1004" t="s">
        <v>1664</v>
      </c>
      <c r="E48" s="344" t="s">
        <v>1665</v>
      </c>
      <c r="F48" s="1043" t="s">
        <v>1666</v>
      </c>
      <c r="G48" s="1044" t="str">
        <f ca="1">IFERROR(IF(f_year="","01.01."&amp;CURRENT_YEAR,"01.01."&amp;f_year),"01.01."&amp;CURRENT_YEAR)</f>
        <v>01.01.2025</v>
      </c>
      <c r="H48" s="1044" t="str">
        <f ca="1">IFERROR(IF(f_year="","31.12."&amp;CURRENT_YEAR,"31.12."&amp;f_year),"31.12."&amp;CURRENT_YEAR)</f>
        <v>31.12.2025</v>
      </c>
      <c r="I48" s="1668" t="b">
        <f>IF(f_year="",TRUE,FALSE)</f>
        <v>1</v>
      </c>
      <c r="J48" s="1671" t="s">
        <v>1667</v>
      </c>
      <c r="K48" s="1672"/>
      <c r="AX48" s="1047" t="s">
        <v>1668</v>
      </c>
      <c r="AZ48" s="1047" t="s">
        <v>1383</v>
      </c>
      <c r="BE48" s="1047">
        <v>2046</v>
      </c>
      <c r="BH48" s="998" t="s">
        <v>1639</v>
      </c>
      <c r="BJ48" s="1144" t="s">
        <v>1041</v>
      </c>
      <c r="BL48" s="1144" t="s">
        <v>1041</v>
      </c>
      <c r="BN48" s="998" t="s">
        <v>1669</v>
      </c>
    </row>
    <row r="49" spans="1:64" ht="11.25" customHeight="1">
      <c r="A49" s="1004" t="s">
        <v>1670</v>
      </c>
      <c r="E49" s="344" t="s">
        <v>1671</v>
      </c>
      <c r="F49" s="1043" t="s">
        <v>1672</v>
      </c>
      <c r="G49" s="1044" t="str">
        <f ca="1">IFERROR(IF(f_year="","01.01."&amp;CURRENT_YEAR,"01.01."&amp;f_year),"01.01."&amp;CURRENT_YEAR)</f>
        <v>01.01.2025</v>
      </c>
      <c r="H49" s="1044" t="str">
        <f ca="1">IFERROR(IF(f_year="","31.12."&amp;CURRENT_YEAR,"31.12."&amp;f_year),"31.12."&amp;CURRENT_YEAR)</f>
        <v>31.12.2025</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1673</v>
      </c>
      <c r="AZ49" s="1047" t="s">
        <v>456</v>
      </c>
      <c r="BE49" s="1047">
        <v>2047</v>
      </c>
      <c r="BH49" s="998" t="s">
        <v>1057</v>
      </c>
      <c r="BJ49" s="1144" t="s">
        <v>1043</v>
      </c>
      <c r="BL49" s="1144" t="s">
        <v>1043</v>
      </c>
    </row>
    <row r="50" spans="1:64" ht="11.25" customHeight="1">
      <c r="A50" s="1004" t="s">
        <v>1674</v>
      </c>
      <c r="E50" s="344" t="s">
        <v>1675</v>
      </c>
      <c r="F50" s="1043" t="s">
        <v>1027</v>
      </c>
      <c r="G50" s="1044" t="str">
        <f ca="1">IFERROR(IF(f_year="","01.01."&amp;CURRENT_YEAR,"01.01."&amp;f_year),"01.01."&amp;CURRENT_YEAR)</f>
        <v>01.01.2025</v>
      </c>
      <c r="H50" s="1044" t="str">
        <f ca="1">IFERROR(IF(f_year="","31.12."&amp;CURRENT_YEAR,"31.12."&amp;f_year),"31.12."&amp;CURRENT_YEAR)</f>
        <v>31.12.2025</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1676</v>
      </c>
      <c r="AZ50" s="1047" t="s">
        <v>472</v>
      </c>
      <c r="BE50" s="1047">
        <v>2048</v>
      </c>
      <c r="BH50" s="998" t="s">
        <v>1646</v>
      </c>
      <c r="BJ50" s="1144" t="s">
        <v>1045</v>
      </c>
      <c r="BL50" s="1144" t="s">
        <v>1045</v>
      </c>
    </row>
    <row r="51" spans="1:64" ht="11.25" customHeight="1">
      <c r="A51" s="1004" t="s">
        <v>1677</v>
      </c>
      <c r="E51" s="344" t="s">
        <v>1678</v>
      </c>
      <c r="F51" s="1043" t="s">
        <v>1649</v>
      </c>
      <c r="G51" s="1044" t="str">
        <f>IFERROR(IF(TITLE_PERIOD_START="","01.01."&amp;CURRENT_YEAR,"01.01."&amp;YEAR(TITLE_PERIOD_START)),"01.01."&amp;CURRENT_YEAR)</f>
        <v>01.01.2026</v>
      </c>
      <c r="H51" s="1044" t="str">
        <f>IFERROR(IF(TITLE_PERIOD_END="","31.12."&amp;CURRENT_YEAR,"31.12."&amp;YEAR(TITLE_PERIOD_END)),"31.12."&amp;CURRENT_YEAR)</f>
        <v>31.12.2026</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1679</v>
      </c>
      <c r="AZ51" s="1047" t="s">
        <v>1429</v>
      </c>
      <c r="BE51" s="1047">
        <v>2049</v>
      </c>
      <c r="BH51" s="998" t="s">
        <v>1655</v>
      </c>
      <c r="BJ51" s="1144" t="s">
        <v>1680</v>
      </c>
      <c r="BL51" s="1144" t="s">
        <v>1680</v>
      </c>
    </row>
    <row r="52" spans="1:64" ht="11.25" customHeight="1">
      <c r="A52" s="1004" t="s">
        <v>1681</v>
      </c>
      <c r="E52" s="344" t="s">
        <v>1682</v>
      </c>
      <c r="F52" s="1043" t="s">
        <v>1683</v>
      </c>
      <c r="G52" s="1044" t="str">
        <f>IFERROR(IF(TITLE_PERIOD_START="","01.01."&amp;CURRENT_YEAR,"01.01."&amp;YEAR(TITLE_PERIOD_START)),"01.01."&amp;CURRENT_YEAR)</f>
        <v>01.01.2026</v>
      </c>
      <c r="H52" s="1044" t="str">
        <f>IFERROR(IF(TITLE_PERIOD_END="","31.12."&amp;CURRENT_YEAR,"31.12."&amp;YEAR(TITLE_PERIOD_END)),"31.12."&amp;CURRENT_YEAR)</f>
        <v>31.12.2026</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1684</v>
      </c>
      <c r="AZ52" s="1047" t="s">
        <v>454</v>
      </c>
      <c r="BE52" s="1047">
        <v>2050</v>
      </c>
      <c r="BH52" s="998" t="s">
        <v>1659</v>
      </c>
      <c r="BJ52" s="1144" t="s">
        <v>1056</v>
      </c>
      <c r="BL52" s="1144" t="s">
        <v>1056</v>
      </c>
    </row>
    <row r="53" spans="1:64" ht="11.25" customHeight="1">
      <c r="A53" s="1004" t="s">
        <v>1685</v>
      </c>
      <c r="E53" s="344" t="s">
        <v>1686</v>
      </c>
      <c r="F53" s="1043" t="s">
        <v>1686</v>
      </c>
      <c r="G53" s="1044" t="str">
        <f ca="1">IFERROR(IF(f_year="","01.01."&amp;CURRENT_YEAR,"01.01."&amp;f_year),"01.01."&amp;CURRENT_YEAR)</f>
        <v>01.01.2025</v>
      </c>
      <c r="H53" s="1044" t="str">
        <f ca="1">IFERROR(IF(f_year="","31.12."&amp;CURRENT_YEAR,"31.12."&amp;f_year),"31.12."&amp;CURRENT_YEAR)</f>
        <v>31.12.2025</v>
      </c>
      <c r="I53" s="1668" t="b">
        <f>IF(AND(f_year="",TITLE_DATE_FIL=""),TRUE,FALSE)</f>
        <v>1</v>
      </c>
      <c r="J53" s="1671" t="s">
        <v>1687</v>
      </c>
      <c r="K53" s="1672"/>
      <c r="AX53" s="1047" t="s">
        <v>1688</v>
      </c>
      <c r="BE53" s="1047">
        <v>2051</v>
      </c>
      <c r="BH53" s="998" t="s">
        <v>1663</v>
      </c>
      <c r="BJ53" s="1144" t="s">
        <v>1635</v>
      </c>
      <c r="BL53" s="1144" t="s">
        <v>1635</v>
      </c>
    </row>
    <row r="54" spans="1:64" ht="11.25" customHeight="1">
      <c r="A54" s="1004" t="s">
        <v>1689</v>
      </c>
      <c r="AX54" s="1047" t="s">
        <v>1690</v>
      </c>
      <c r="AZ54" s="997" t="s">
        <v>1691</v>
      </c>
      <c r="BE54" s="1047">
        <v>2052</v>
      </c>
      <c r="BH54" s="998" t="s">
        <v>1669</v>
      </c>
      <c r="BJ54" s="1144" t="s">
        <v>1639</v>
      </c>
      <c r="BL54" s="1144" t="s">
        <v>1639</v>
      </c>
    </row>
    <row r="55" spans="1:64" ht="11.25" customHeight="1">
      <c r="A55" s="1004" t="s">
        <v>1692</v>
      </c>
      <c r="AX55" s="1047" t="s">
        <v>1693</v>
      </c>
      <c r="AZ55" s="1047" t="s">
        <v>1233</v>
      </c>
      <c r="BE55" s="1047">
        <v>2053</v>
      </c>
      <c r="BH55" s="1000" t="s">
        <v>28</v>
      </c>
      <c r="BJ55" s="1144" t="s">
        <v>1057</v>
      </c>
      <c r="BL55" s="1144" t="s">
        <v>1057</v>
      </c>
    </row>
    <row r="56" spans="1:64" ht="11.25" customHeight="1">
      <c r="A56" s="1004" t="s">
        <v>1694</v>
      </c>
      <c r="D56" s="1046" t="s">
        <v>1695</v>
      </c>
      <c r="E56" s="1024" t="s">
        <v>112</v>
      </c>
      <c r="F56" s="1004" t="s">
        <v>1696</v>
      </c>
      <c r="AX56" s="1047" t="s">
        <v>1697</v>
      </c>
      <c r="AZ56" s="1047" t="s">
        <v>1258</v>
      </c>
      <c r="BE56" s="1047">
        <v>2054</v>
      </c>
      <c r="BH56" s="1000" t="s">
        <v>28</v>
      </c>
      <c r="BJ56" s="1144" t="s">
        <v>1646</v>
      </c>
      <c r="BL56" s="1144" t="s">
        <v>1646</v>
      </c>
    </row>
    <row r="57" spans="1:64" ht="11.25" customHeight="1">
      <c r="A57" s="1004" t="s">
        <v>1698</v>
      </c>
      <c r="D57" s="1046" t="s">
        <v>1699</v>
      </c>
      <c r="E57" s="1024" t="s">
        <v>112</v>
      </c>
      <c r="F57" s="1004" t="s">
        <v>1696</v>
      </c>
      <c r="AX57" s="1047" t="s">
        <v>1700</v>
      </c>
      <c r="AZ57" s="1047" t="s">
        <v>1293</v>
      </c>
      <c r="BE57" s="1047">
        <v>2055</v>
      </c>
      <c r="BJ57" s="1144" t="s">
        <v>1655</v>
      </c>
      <c r="BL57" s="1144" t="s">
        <v>1655</v>
      </c>
    </row>
    <row r="58" spans="1:64" ht="11.25" customHeight="1">
      <c r="A58" s="1004" t="s">
        <v>1701</v>
      </c>
      <c r="D58" s="1046" t="s">
        <v>1702</v>
      </c>
      <c r="E58" s="1024" t="s">
        <v>112</v>
      </c>
      <c r="F58" s="1004" t="s">
        <v>1696</v>
      </c>
      <c r="AX58" s="1047" t="s">
        <v>1703</v>
      </c>
      <c r="BE58" s="1047">
        <v>2056</v>
      </c>
      <c r="BJ58" s="1144" t="s">
        <v>1659</v>
      </c>
      <c r="BL58" s="1144" t="s">
        <v>1659</v>
      </c>
    </row>
    <row r="59" spans="1:64" ht="11.25" customHeight="1">
      <c r="A59" s="1004" t="s">
        <v>1704</v>
      </c>
      <c r="D59" s="1046" t="s">
        <v>132</v>
      </c>
      <c r="E59" s="1024" t="s">
        <v>1592</v>
      </c>
      <c r="F59" s="1004" t="s">
        <v>1705</v>
      </c>
      <c r="AX59" s="1047" t="s">
        <v>1706</v>
      </c>
      <c r="AZ59" s="997" t="s">
        <v>1707</v>
      </c>
      <c r="BE59" s="1047">
        <v>2057</v>
      </c>
      <c r="BJ59" s="1144" t="s">
        <v>1663</v>
      </c>
      <c r="BL59" s="1144" t="s">
        <v>1663</v>
      </c>
    </row>
    <row r="60" spans="1:64" ht="11.25" customHeight="1">
      <c r="A60" s="1004" t="s">
        <v>1708</v>
      </c>
      <c r="D60" s="1046" t="s">
        <v>1709</v>
      </c>
      <c r="E60" s="1024" t="s">
        <v>1592</v>
      </c>
      <c r="F60" s="1004" t="s">
        <v>1705</v>
      </c>
      <c r="AX60" s="1047" t="s">
        <v>1710</v>
      </c>
      <c r="AZ60" s="1047" t="s">
        <v>1234</v>
      </c>
      <c r="BE60" s="1047">
        <v>2058</v>
      </c>
      <c r="BJ60" s="1144" t="s">
        <v>1669</v>
      </c>
      <c r="BL60" s="1144" t="s">
        <v>1669</v>
      </c>
    </row>
    <row r="61" spans="1:64" ht="11.25" customHeight="1">
      <c r="A61" s="1004" t="s">
        <v>1711</v>
      </c>
      <c r="D61" s="1046" t="s">
        <v>1712</v>
      </c>
      <c r="E61" s="1024" t="s">
        <v>1592</v>
      </c>
      <c r="F61" s="1004" t="s">
        <v>1705</v>
      </c>
      <c r="AX61" s="1047" t="s">
        <v>1713</v>
      </c>
      <c r="AZ61" s="1047" t="s">
        <v>1259</v>
      </c>
      <c r="BE61" s="1047">
        <v>2059</v>
      </c>
      <c r="BL61" s="1144" t="s">
        <v>1049</v>
      </c>
    </row>
    <row r="62" spans="1:64" ht="11.25" customHeight="1">
      <c r="A62" s="1004" t="s">
        <v>1714</v>
      </c>
      <c r="D62" s="1046" t="s">
        <v>131</v>
      </c>
      <c r="E62" s="1024">
        <v>30</v>
      </c>
      <c r="F62" s="1004" t="s">
        <v>1705</v>
      </c>
      <c r="AZ62" s="1047" t="s">
        <v>1294</v>
      </c>
      <c r="BE62" s="1047">
        <v>2060</v>
      </c>
      <c r="BL62" s="1144" t="s">
        <v>1051</v>
      </c>
    </row>
    <row r="63" spans="1:64" ht="11.25" customHeight="1">
      <c r="A63" s="1004" t="s">
        <v>1715</v>
      </c>
      <c r="D63" s="1046" t="s">
        <v>1716</v>
      </c>
      <c r="E63" s="1024">
        <v>30</v>
      </c>
      <c r="F63" s="1004" t="s">
        <v>1705</v>
      </c>
      <c r="AZ63" s="1047" t="s">
        <v>1325</v>
      </c>
      <c r="BE63" s="1047">
        <v>2061</v>
      </c>
    </row>
    <row r="64" spans="1:64" ht="11.25" customHeight="1">
      <c r="A64" s="1004" t="s">
        <v>1717</v>
      </c>
      <c r="D64" s="1046" t="s">
        <v>1718</v>
      </c>
      <c r="E64" s="1024">
        <v>30</v>
      </c>
      <c r="F64" s="1004" t="s">
        <v>1705</v>
      </c>
      <c r="AZ64" s="1047" t="s">
        <v>1348</v>
      </c>
      <c r="BE64" s="1047">
        <v>2062</v>
      </c>
    </row>
    <row r="65" spans="1:66" ht="11.25" customHeight="1">
      <c r="A65" s="1004" t="s">
        <v>1719</v>
      </c>
      <c r="D65" s="1004"/>
      <c r="BE65" s="1047">
        <v>2063</v>
      </c>
    </row>
    <row r="66" spans="1:66" ht="11.25" customHeight="1">
      <c r="A66" s="1004" t="s">
        <v>1720</v>
      </c>
      <c r="AZ66" s="997" t="s">
        <v>1721</v>
      </c>
      <c r="BE66" s="1047">
        <v>2064</v>
      </c>
    </row>
    <row r="67" spans="1:66" ht="11.25" customHeight="1">
      <c r="A67" s="1004" t="s">
        <v>1722</v>
      </c>
      <c r="AZ67" s="1047" t="s">
        <v>1235</v>
      </c>
      <c r="BE67" s="1047">
        <v>2065</v>
      </c>
    </row>
    <row r="68" spans="1:66" ht="11.25" customHeight="1">
      <c r="A68" s="1004" t="s">
        <v>1723</v>
      </c>
      <c r="AZ68" s="1047" t="s">
        <v>1260</v>
      </c>
      <c r="BE68" s="1047">
        <v>2066</v>
      </c>
      <c r="BH68" s="997" t="s">
        <v>1724</v>
      </c>
      <c r="BJ68" s="997" t="s">
        <v>1725</v>
      </c>
      <c r="BL68" s="997" t="s">
        <v>1726</v>
      </c>
      <c r="BN68" s="997" t="s">
        <v>1727</v>
      </c>
    </row>
    <row r="69" spans="1:66" ht="11.25" customHeight="1">
      <c r="A69" s="1004" t="s">
        <v>1728</v>
      </c>
      <c r="AZ69" s="1047" t="s">
        <v>1295</v>
      </c>
      <c r="BE69" s="1047">
        <v>2067</v>
      </c>
      <c r="BH69" s="998" t="s">
        <v>1729</v>
      </c>
      <c r="BI69" s="1045" t="s">
        <v>110</v>
      </c>
      <c r="BJ69" s="998" t="s">
        <v>1730</v>
      </c>
      <c r="BK69" s="1045" t="s">
        <v>110</v>
      </c>
      <c r="BL69" s="998" t="s">
        <v>1731</v>
      </c>
      <c r="BM69" s="1000" t="s">
        <v>110</v>
      </c>
      <c r="BN69" s="998" t="s">
        <v>1732</v>
      </c>
    </row>
    <row r="70" spans="1:66" ht="11.25" customHeight="1">
      <c r="A70" s="1004" t="s">
        <v>1733</v>
      </c>
      <c r="AZ70" s="1047" t="s">
        <v>1326</v>
      </c>
      <c r="BE70" s="1047">
        <v>2068</v>
      </c>
      <c r="BH70" s="998" t="s">
        <v>1734</v>
      </c>
      <c r="BJ70" s="998" t="s">
        <v>1735</v>
      </c>
      <c r="BL70" s="998" t="s">
        <v>1736</v>
      </c>
      <c r="BN70" s="998" t="s">
        <v>1737</v>
      </c>
    </row>
    <row r="71" spans="1:66" ht="11.25" customHeight="1">
      <c r="A71" s="1004" t="s">
        <v>1738</v>
      </c>
      <c r="AZ71" s="1047" t="s">
        <v>1328</v>
      </c>
      <c r="BE71" s="1047">
        <v>2069</v>
      </c>
      <c r="BH71" s="998" t="s">
        <v>1739</v>
      </c>
      <c r="BI71" s="1045" t="s">
        <v>91</v>
      </c>
      <c r="BJ71" s="998" t="s">
        <v>1740</v>
      </c>
      <c r="BK71" s="1045" t="s">
        <v>91</v>
      </c>
      <c r="BL71" s="998" t="s">
        <v>1741</v>
      </c>
      <c r="BM71" s="1000" t="s">
        <v>91</v>
      </c>
      <c r="BN71" s="998" t="s">
        <v>1742</v>
      </c>
    </row>
    <row r="72" spans="1:66" ht="11.25" customHeight="1">
      <c r="A72" s="1004" t="s">
        <v>1743</v>
      </c>
      <c r="AZ72" s="1047" t="s">
        <v>19</v>
      </c>
      <c r="BE72" s="1047">
        <v>2070</v>
      </c>
      <c r="BH72" s="998" t="s">
        <v>1744</v>
      </c>
      <c r="BJ72" s="998" t="s">
        <v>1744</v>
      </c>
      <c r="BL72" s="998" t="s">
        <v>1744</v>
      </c>
      <c r="BN72" s="998" t="s">
        <v>1745</v>
      </c>
    </row>
    <row r="73" spans="1:66" ht="11.25" customHeight="1">
      <c r="A73" s="1004" t="s">
        <v>1746</v>
      </c>
      <c r="BH73" s="998" t="s">
        <v>1747</v>
      </c>
      <c r="BI73" s="1045" t="s">
        <v>112</v>
      </c>
      <c r="BJ73" s="998" t="s">
        <v>1748</v>
      </c>
      <c r="BK73" s="1045" t="s">
        <v>112</v>
      </c>
      <c r="BL73" s="998" t="s">
        <v>1749</v>
      </c>
      <c r="BM73" s="1000" t="s">
        <v>112</v>
      </c>
      <c r="BN73" s="998" t="s">
        <v>1750</v>
      </c>
    </row>
    <row r="74" spans="1:66" ht="11.25" customHeight="1">
      <c r="A74" s="1004" t="s">
        <v>1751</v>
      </c>
      <c r="BH74" s="998" t="s">
        <v>1752</v>
      </c>
      <c r="BJ74" s="998" t="s">
        <v>1753</v>
      </c>
      <c r="BL74" s="998" t="s">
        <v>1754</v>
      </c>
      <c r="BN74" s="998" t="s">
        <v>1755</v>
      </c>
    </row>
    <row r="75" spans="1:66" ht="11.25" customHeight="1">
      <c r="A75" s="1004" t="s">
        <v>1756</v>
      </c>
      <c r="AZ75" s="997" t="s">
        <v>1757</v>
      </c>
      <c r="BH75" s="998" t="s">
        <v>1758</v>
      </c>
      <c r="BJ75" s="998" t="s">
        <v>1758</v>
      </c>
      <c r="BL75" s="998" t="s">
        <v>1758</v>
      </c>
    </row>
    <row r="76" spans="1:66" ht="11.25" customHeight="1">
      <c r="A76" s="1004" t="s">
        <v>1759</v>
      </c>
      <c r="AZ76" s="1047" t="s">
        <v>1244</v>
      </c>
      <c r="BH76" s="998" t="s">
        <v>1760</v>
      </c>
      <c r="BJ76" s="998" t="s">
        <v>1761</v>
      </c>
      <c r="BL76" s="998" t="s">
        <v>1762</v>
      </c>
    </row>
    <row r="77" spans="1:66" ht="11.25" customHeight="1">
      <c r="A77" s="1004" t="s">
        <v>1763</v>
      </c>
      <c r="AZ77" s="1047" t="s">
        <v>1270</v>
      </c>
    </row>
    <row r="78" spans="1:66" ht="11.25" customHeight="1">
      <c r="A78" s="1004" t="s">
        <v>1764</v>
      </c>
      <c r="AZ78" s="1047" t="s">
        <v>1302</v>
      </c>
    </row>
    <row r="79" spans="1:66" ht="11.25" customHeight="1">
      <c r="A79" s="1004" t="s">
        <v>1765</v>
      </c>
      <c r="AZ79" s="1047" t="s">
        <v>1332</v>
      </c>
      <c r="BH79" s="997" t="s">
        <v>1766</v>
      </c>
      <c r="BJ79" s="997" t="s">
        <v>1767</v>
      </c>
      <c r="BL79" s="997" t="s">
        <v>1768</v>
      </c>
    </row>
    <row r="80" spans="1:66" ht="11.25" customHeight="1">
      <c r="A80" s="1004" t="s">
        <v>1769</v>
      </c>
      <c r="AZ80" s="1047" t="s">
        <v>1353</v>
      </c>
      <c r="BH80" s="998" t="s">
        <v>1770</v>
      </c>
      <c r="BJ80" s="998" t="s">
        <v>1771</v>
      </c>
      <c r="BL80" s="998" t="s">
        <v>1772</v>
      </c>
    </row>
    <row r="81" spans="1:66" ht="11.25" customHeight="1">
      <c r="A81" s="1004" t="s">
        <v>1773</v>
      </c>
      <c r="AZ81" s="1047" t="s">
        <v>1370</v>
      </c>
      <c r="BH81" s="998" t="s">
        <v>1774</v>
      </c>
      <c r="BJ81" s="998" t="s">
        <v>1775</v>
      </c>
      <c r="BL81" s="998" t="s">
        <v>1776</v>
      </c>
    </row>
    <row r="82" spans="1:66" ht="11.25" customHeight="1">
      <c r="A82" s="1004" t="s">
        <v>1777</v>
      </c>
      <c r="AZ82" s="1047" t="s">
        <v>1385</v>
      </c>
      <c r="BH82" s="998" t="s">
        <v>1778</v>
      </c>
      <c r="BJ82" s="998" t="s">
        <v>1779</v>
      </c>
      <c r="BL82" s="998" t="s">
        <v>1780</v>
      </c>
    </row>
    <row r="83" spans="1:66" ht="11.25" customHeight="1">
      <c r="A83" s="1004" t="s">
        <v>1781</v>
      </c>
      <c r="BH83" s="998" t="s">
        <v>1782</v>
      </c>
      <c r="BJ83" s="998" t="s">
        <v>1783</v>
      </c>
      <c r="BL83" s="998" t="s">
        <v>1784</v>
      </c>
    </row>
    <row r="84" spans="1:66" ht="11.25" customHeight="1">
      <c r="A84" s="1004" t="s">
        <v>1785</v>
      </c>
      <c r="AZ84" s="997" t="s">
        <v>1786</v>
      </c>
    </row>
    <row r="85" spans="1:66" ht="11.25" customHeight="1">
      <c r="A85" s="1795" t="s">
        <v>1787</v>
      </c>
      <c r="AZ85" s="1047" t="s">
        <v>1788</v>
      </c>
    </row>
    <row r="86" spans="1:66" ht="11.25" customHeight="1">
      <c r="A86" s="1004" t="s">
        <v>1789</v>
      </c>
      <c r="AZ86" s="1047" t="s">
        <v>1790</v>
      </c>
      <c r="BH86" s="997" t="s">
        <v>1791</v>
      </c>
      <c r="BJ86" s="997" t="s">
        <v>1792</v>
      </c>
      <c r="BL86" s="997" t="s">
        <v>1793</v>
      </c>
    </row>
    <row r="87" spans="1:66" ht="11.25" customHeight="1">
      <c r="A87" s="1004" t="s">
        <v>1794</v>
      </c>
      <c r="AZ87" s="1047" t="s">
        <v>1795</v>
      </c>
      <c r="BH87" s="998" t="s">
        <v>1796</v>
      </c>
      <c r="BJ87" s="998" t="s">
        <v>1797</v>
      </c>
      <c r="BL87" s="998" t="s">
        <v>1798</v>
      </c>
    </row>
    <row r="88" spans="1:66" ht="11.25" customHeight="1">
      <c r="A88" s="1004" t="s">
        <v>1799</v>
      </c>
      <c r="AZ88" s="1533"/>
      <c r="BH88" s="998" t="s">
        <v>1800</v>
      </c>
      <c r="BJ88" s="998" t="s">
        <v>1801</v>
      </c>
      <c r="BL88" s="998" t="s">
        <v>1802</v>
      </c>
    </row>
    <row r="89" spans="1:66" ht="11.25" customHeight="1">
      <c r="A89" s="1004" t="s">
        <v>1803</v>
      </c>
      <c r="AZ89" s="997" t="s">
        <v>1804</v>
      </c>
    </row>
    <row r="90" spans="1:66" ht="11.25" customHeight="1">
      <c r="A90" s="1004" t="s">
        <v>1805</v>
      </c>
      <c r="AZ90" s="1047" t="s">
        <v>1027</v>
      </c>
    </row>
    <row r="91" spans="1:66" ht="11.25" customHeight="1">
      <c r="A91" s="1004" t="s">
        <v>1806</v>
      </c>
      <c r="AZ91" s="1047" t="s">
        <v>1063</v>
      </c>
      <c r="BH91" s="997" t="s">
        <v>1807</v>
      </c>
      <c r="BJ91" s="997" t="s">
        <v>1808</v>
      </c>
      <c r="BL91" s="997" t="s">
        <v>1809</v>
      </c>
    </row>
    <row r="92" spans="1:66" ht="11.25" customHeight="1">
      <c r="AZ92" s="1047" t="s">
        <v>1810</v>
      </c>
      <c r="BH92" s="998" t="s">
        <v>1811</v>
      </c>
      <c r="BJ92" s="998" t="s">
        <v>1812</v>
      </c>
      <c r="BL92" s="998" t="s">
        <v>1813</v>
      </c>
    </row>
    <row r="93" spans="1:66" ht="11.25" customHeight="1">
      <c r="AZ93" s="1047" t="s">
        <v>1814</v>
      </c>
      <c r="BH93" s="998" t="s">
        <v>1815</v>
      </c>
      <c r="BJ93" s="998" t="s">
        <v>1816</v>
      </c>
      <c r="BL93" s="998" t="s">
        <v>1817</v>
      </c>
    </row>
    <row r="94" spans="1:66" ht="11.25" customHeight="1">
      <c r="AZ94" s="1047" t="s">
        <v>1818</v>
      </c>
    </row>
    <row r="96" spans="1:66" ht="11.25" customHeight="1">
      <c r="AZ96" s="997" t="s">
        <v>1819</v>
      </c>
      <c r="BH96" s="997" t="s">
        <v>1820</v>
      </c>
      <c r="BJ96" s="997" t="s">
        <v>1821</v>
      </c>
      <c r="BL96" s="997" t="s">
        <v>1822</v>
      </c>
      <c r="BN96" s="997" t="s">
        <v>1823</v>
      </c>
    </row>
    <row r="97" spans="52:66" ht="11.25" customHeight="1">
      <c r="AZ97" s="1826" t="s">
        <v>1824</v>
      </c>
      <c r="BA97" s="1827" t="s">
        <v>1825</v>
      </c>
      <c r="BH97" s="998" t="s">
        <v>1826</v>
      </c>
      <c r="BJ97" s="998" t="s">
        <v>1827</v>
      </c>
      <c r="BL97" s="998" t="s">
        <v>1828</v>
      </c>
      <c r="BN97" s="998" t="s">
        <v>1829</v>
      </c>
    </row>
    <row r="98" spans="52:66" ht="11.25" customHeight="1">
      <c r="AZ98" s="1826" t="s">
        <v>1830</v>
      </c>
      <c r="BA98" s="1827" t="s">
        <v>1831</v>
      </c>
      <c r="BH98" s="998" t="s">
        <v>1832</v>
      </c>
      <c r="BJ98" s="998" t="s">
        <v>1833</v>
      </c>
      <c r="BL98" s="998" t="s">
        <v>1834</v>
      </c>
      <c r="BN98" s="998" t="s">
        <v>1835</v>
      </c>
    </row>
    <row r="99" spans="52:66" ht="22.5" customHeight="1">
      <c r="AZ99" s="1826" t="s">
        <v>1836</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1837</v>
      </c>
      <c r="BJ99" s="998" t="s">
        <v>1838</v>
      </c>
      <c r="BL99" s="998" t="s">
        <v>1839</v>
      </c>
      <c r="BN99" s="998" t="s">
        <v>1840</v>
      </c>
    </row>
    <row r="100" spans="52:66" ht="22.5" customHeight="1">
      <c r="AZ100" s="1826" t="s">
        <v>1841</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1429</v>
      </c>
      <c r="BL100" s="998" t="s">
        <v>1429</v>
      </c>
      <c r="BN100" s="998" t="s">
        <v>1842</v>
      </c>
    </row>
    <row r="101" spans="52:66" ht="22.5" customHeight="1">
      <c r="AZ101" s="1826" t="s">
        <v>1843</v>
      </c>
      <c r="BA101" s="1827" t="s">
        <v>1844</v>
      </c>
      <c r="BN101" s="998" t="s">
        <v>1845</v>
      </c>
    </row>
    <row r="102" spans="52:66" ht="22.5" customHeight="1">
      <c r="AZ102" s="1826" t="s">
        <v>1846</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1847</v>
      </c>
    </row>
    <row r="103" spans="52:66" ht="11.25" customHeight="1">
      <c r="AZ103" s="1826" t="s">
        <v>1848</v>
      </c>
      <c r="BA103" s="1827" t="s">
        <v>1849</v>
      </c>
      <c r="BN103" s="998" t="s">
        <v>1850</v>
      </c>
    </row>
    <row r="104" spans="52:66" ht="11.25" customHeight="1">
      <c r="BN104" s="998" t="s">
        <v>1851</v>
      </c>
    </row>
    <row r="105" spans="52:66" ht="11.25" customHeight="1">
      <c r="AZ105" s="1619" t="s">
        <v>1852</v>
      </c>
    </row>
    <row r="106" spans="52:66" ht="11.25" customHeight="1">
      <c r="AZ106" s="1047" t="s">
        <v>1853</v>
      </c>
    </row>
    <row r="107" spans="52:66" ht="11.25" customHeight="1">
      <c r="AZ107" s="1047" t="s">
        <v>1854</v>
      </c>
      <c r="BH107" s="997" t="s">
        <v>1855</v>
      </c>
      <c r="BJ107" s="997" t="s">
        <v>1856</v>
      </c>
      <c r="BL107" s="997" t="s">
        <v>1857</v>
      </c>
      <c r="BN107" s="997" t="s">
        <v>1858</v>
      </c>
    </row>
    <row r="108" spans="52:66" ht="11.25" customHeight="1">
      <c r="AZ108" s="1047" t="s">
        <v>580</v>
      </c>
      <c r="BH108" s="998" t="s">
        <v>1859</v>
      </c>
      <c r="BJ108" s="998" t="s">
        <v>1860</v>
      </c>
      <c r="BL108" s="998" t="s">
        <v>1515</v>
      </c>
      <c r="BN108" s="998" t="s">
        <v>1861</v>
      </c>
    </row>
    <row r="109" spans="52:66" ht="11.25" customHeight="1">
      <c r="BH109" s="998" t="s">
        <v>1862</v>
      </c>
    </row>
    <row r="110" spans="52:66" ht="11.25" customHeight="1">
      <c r="AZ110" s="1619" t="s">
        <v>1863</v>
      </c>
      <c r="BH110" s="998" t="s">
        <v>1862</v>
      </c>
    </row>
    <row r="111" spans="52:66" ht="11.25" customHeight="1">
      <c r="AZ111" s="1826" t="s">
        <v>1824</v>
      </c>
      <c r="BA111" s="1827" t="s">
        <v>1825</v>
      </c>
    </row>
    <row r="112" spans="52:66" ht="11.25" customHeight="1">
      <c r="AZ112" s="1826" t="s">
        <v>1830</v>
      </c>
      <c r="BA112" s="1827" t="s">
        <v>1831</v>
      </c>
    </row>
    <row r="113" spans="52:60" ht="22.5" customHeight="1">
      <c r="AZ113" s="1826" t="s">
        <v>1836</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1841</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1864</v>
      </c>
    </row>
    <row r="115" spans="52:60" ht="22.5" customHeight="1">
      <c r="AZ115" s="1826" t="s">
        <v>1846</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454</v>
      </c>
    </row>
    <row r="116" spans="52:60" ht="11.25" customHeight="1">
      <c r="AZ116" s="1826" t="s">
        <v>1848</v>
      </c>
      <c r="BA116" s="1827" t="s">
        <v>1849</v>
      </c>
      <c r="BH116" s="998" t="s">
        <v>1256</v>
      </c>
    </row>
    <row r="117" spans="52:60" ht="11.25" customHeight="1">
      <c r="BH117" s="998" t="s">
        <v>1291</v>
      </c>
    </row>
    <row r="118" spans="52:60" ht="11.25" customHeight="1">
      <c r="BH118" s="998" t="s">
        <v>1324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50681-0484-2488-CCFE-8558AF020FCA}">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306</v>
      </c>
      <c r="J1" s="392" t="s">
        <v>14</v>
      </c>
    </row>
    <row r="2" spans="1:10" ht="22.5" hidden="1" customHeight="1">
      <c r="A2" s="439"/>
      <c r="B2" s="439"/>
      <c r="C2" s="1656" t="s">
        <v>452</v>
      </c>
      <c r="D2" s="1447"/>
      <c r="E2" s="1453"/>
      <c r="F2" s="1476"/>
      <c r="H2" s="412"/>
      <c r="J2" s="392">
        <v>0</v>
      </c>
    </row>
    <row r="3" spans="1:10" ht="11.25" hidden="1" customHeight="1">
      <c r="J3" s="392">
        <v>0</v>
      </c>
    </row>
    <row r="4" spans="1:10" ht="11.45" customHeight="1">
      <c r="A4" s="1477"/>
      <c r="B4" s="1477"/>
      <c r="J4" s="392">
        <v>11</v>
      </c>
    </row>
    <row r="5" spans="1:10" ht="27.4" customHeight="1">
      <c r="D5" s="232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26"/>
      <c r="F5" s="2327"/>
      <c r="I5" s="652"/>
      <c r="J5" s="392">
        <v>26</v>
      </c>
    </row>
    <row r="6" spans="1:10" ht="18" customHeight="1">
      <c r="D6" s="2421" t="str">
        <f>IF(region_name=0,"Не определено",region_name)</f>
        <v>Курская область</v>
      </c>
      <c r="E6" s="2421"/>
      <c r="F6" s="2421"/>
      <c r="I6" s="652"/>
      <c r="J6" s="392">
        <v>17</v>
      </c>
    </row>
    <row r="7" spans="1:10" s="414" customFormat="1" ht="11.45" customHeight="1">
      <c r="A7" s="438"/>
      <c r="B7" s="438"/>
      <c r="D7" s="651"/>
      <c r="E7" s="651"/>
      <c r="F7" s="689"/>
      <c r="G7" s="651"/>
      <c r="J7" s="414">
        <v>11</v>
      </c>
    </row>
    <row r="8" spans="1:10" ht="11.25" hidden="1" customHeight="1">
      <c r="A8" s="439"/>
      <c r="B8" s="439"/>
      <c r="C8" s="394"/>
      <c r="D8" s="400"/>
      <c r="E8" s="2427"/>
      <c r="F8" s="2427"/>
      <c r="J8" s="392">
        <v>0</v>
      </c>
    </row>
    <row r="9" spans="1:10" ht="11.45" customHeight="1">
      <c r="A9" s="439"/>
      <c r="B9" s="439"/>
      <c r="C9" s="394"/>
      <c r="D9" s="2424" t="s">
        <v>307</v>
      </c>
      <c r="E9" s="2425"/>
      <c r="F9" s="2425"/>
      <c r="G9" s="2428" t="s">
        <v>308</v>
      </c>
      <c r="J9" s="392">
        <v>11</v>
      </c>
    </row>
    <row r="10" spans="1:10" ht="11.45" customHeight="1">
      <c r="A10" s="439"/>
      <c r="B10" s="439"/>
      <c r="C10" s="394"/>
      <c r="D10" s="1401" t="s">
        <v>89</v>
      </c>
      <c r="E10" s="1403" t="s">
        <v>309</v>
      </c>
      <c r="F10" s="1403" t="s">
        <v>310</v>
      </c>
      <c r="G10" s="2429"/>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МУП "Городские тепловые сети" МО  "город Курчатов"</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1865</v>
      </c>
      <c r="F13" s="1448" t="s">
        <v>313</v>
      </c>
      <c r="G13" s="411"/>
      <c r="H13" s="1460"/>
      <c r="J13" s="392">
        <v>19</v>
      </c>
    </row>
    <row r="14" spans="1:10" ht="19.899999999999999" customHeight="1">
      <c r="A14" s="439"/>
      <c r="B14" s="439"/>
      <c r="C14" s="394"/>
      <c r="D14" s="1450" t="s">
        <v>717</v>
      </c>
      <c r="E14" s="1451" t="s">
        <v>1866</v>
      </c>
      <c r="F14" s="1453"/>
      <c r="G14" s="1452" t="s">
        <v>1867</v>
      </c>
      <c r="H14" s="1460"/>
      <c r="J14" s="392">
        <v>19</v>
      </c>
    </row>
    <row r="15" spans="1:10" ht="19.899999999999999" customHeight="1">
      <c r="A15" s="439"/>
      <c r="B15" s="439"/>
      <c r="C15" s="394"/>
      <c r="D15" s="1450" t="s">
        <v>314</v>
      </c>
      <c r="E15" s="1451" t="s">
        <v>1868</v>
      </c>
      <c r="F15" s="1453"/>
      <c r="G15" s="1452" t="s">
        <v>1869</v>
      </c>
      <c r="H15" s="1460"/>
      <c r="J15" s="392">
        <v>19</v>
      </c>
    </row>
    <row r="16" spans="1:10" ht="24" customHeight="1">
      <c r="A16" s="439"/>
      <c r="B16" s="439"/>
      <c r="C16" s="394"/>
      <c r="D16" s="1450" t="s">
        <v>317</v>
      </c>
      <c r="E16" s="1449" t="s">
        <v>1870</v>
      </c>
      <c r="F16" s="1458"/>
      <c r="G16" s="411" t="s">
        <v>1871</v>
      </c>
      <c r="H16" s="1460"/>
      <c r="J16" s="392">
        <v>23</v>
      </c>
    </row>
    <row r="17" spans="1:10" ht="48.2" customHeight="1">
      <c r="A17" s="439"/>
      <c r="B17" s="439"/>
      <c r="C17" s="394"/>
      <c r="D17" s="1447">
        <v>3</v>
      </c>
      <c r="E17" s="1454" t="s">
        <v>1872</v>
      </c>
      <c r="F17" s="1453"/>
      <c r="G17" s="411" t="s">
        <v>1873</v>
      </c>
      <c r="H17" s="1460"/>
      <c r="J17" s="392">
        <v>46</v>
      </c>
    </row>
    <row r="18" spans="1:10" ht="48.2" customHeight="1">
      <c r="A18" s="1402">
        <v>1</v>
      </c>
      <c r="B18" s="439"/>
      <c r="C18" s="1404"/>
      <c r="D18" s="1447" t="s">
        <v>92</v>
      </c>
      <c r="E18" s="1454" t="s">
        <v>1874</v>
      </c>
      <c r="F18" s="1453"/>
      <c r="G18" s="411" t="s">
        <v>1873</v>
      </c>
      <c r="H18" s="1460"/>
      <c r="I18" s="783"/>
      <c r="J18" s="392">
        <v>46</v>
      </c>
    </row>
    <row r="19" spans="1:10" ht="23.25" customHeight="1">
      <c r="A19" s="439"/>
      <c r="B19" s="439"/>
      <c r="C19" s="394"/>
      <c r="D19" s="1447" t="s">
        <v>112</v>
      </c>
      <c r="E19" s="1454" t="s">
        <v>1875</v>
      </c>
      <c r="F19" s="1448" t="s">
        <v>313</v>
      </c>
      <c r="G19" s="2645" t="s">
        <v>1876</v>
      </c>
      <c r="H19" s="412"/>
      <c r="J19" s="392">
        <v>22</v>
      </c>
    </row>
    <row r="20" spans="1:10" s="1457" customFormat="1" ht="5.25" hidden="1" customHeight="1">
      <c r="A20" s="439"/>
      <c r="B20" s="439"/>
      <c r="C20" s="1456"/>
      <c r="D20" s="1455" t="s">
        <v>1124</v>
      </c>
      <c r="E20" s="944"/>
      <c r="F20" s="943"/>
      <c r="G20" s="2646"/>
      <c r="J20" s="1457">
        <v>0</v>
      </c>
    </row>
    <row r="21" spans="1:10" ht="15.75" customHeight="1">
      <c r="A21" s="439"/>
      <c r="B21" s="439"/>
      <c r="C21" s="394"/>
      <c r="D21" s="404"/>
      <c r="E21" s="352" t="s">
        <v>346</v>
      </c>
      <c r="F21" s="406"/>
      <c r="G21" s="2647"/>
      <c r="H21" s="1460"/>
      <c r="J21" s="392">
        <v>15</v>
      </c>
    </row>
    <row r="22" spans="1:10" s="438" customFormat="1" ht="26.25" customHeight="1">
      <c r="A22" s="439"/>
      <c r="B22" s="439"/>
      <c r="C22" s="439"/>
      <c r="D22" s="1447" t="s">
        <v>93</v>
      </c>
      <c r="E22" s="411" t="s">
        <v>1877</v>
      </c>
      <c r="F22" s="1453"/>
      <c r="G22" s="411" t="s">
        <v>1878</v>
      </c>
      <c r="H22" s="1459"/>
      <c r="J22" s="438">
        <v>25</v>
      </c>
    </row>
    <row r="23" spans="1:10" s="438" customFormat="1" ht="19.899999999999999" customHeight="1">
      <c r="A23" s="439"/>
      <c r="B23" s="439"/>
      <c r="C23" s="439"/>
      <c r="D23" s="1447" t="s">
        <v>94</v>
      </c>
      <c r="E23" s="1454" t="s">
        <v>1879</v>
      </c>
      <c r="F23" s="1458"/>
      <c r="G23" s="411" t="s">
        <v>1880</v>
      </c>
      <c r="H23" s="1459"/>
      <c r="J23" s="438">
        <v>19</v>
      </c>
    </row>
    <row r="24" spans="1:10" s="438" customFormat="1" ht="144" hidden="1" customHeight="1">
      <c r="A24" s="439"/>
      <c r="B24" s="439"/>
      <c r="C24" s="439"/>
      <c r="D24" s="1447" t="s">
        <v>113</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83</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B58F2-07FC-714E-2ADD-D97FC8F71BF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1881</v>
      </c>
      <c r="G1" s="1558" t="s">
        <v>49</v>
      </c>
      <c r="H1" s="1558" t="s">
        <v>51</v>
      </c>
      <c r="IU1" s="1082" t="s">
        <v>14</v>
      </c>
    </row>
    <row r="2" spans="1:255" s="1775" customFormat="1" ht="22.5" hidden="1" customHeight="1">
      <c r="A2" s="762"/>
      <c r="B2" s="1087">
        <v>1</v>
      </c>
      <c r="C2" s="1087"/>
      <c r="D2" s="1850" t="s">
        <v>452</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84</v>
      </c>
      <c r="G3" s="431" t="s">
        <v>85</v>
      </c>
      <c r="H3" s="431"/>
      <c r="I3" s="431"/>
      <c r="J3" s="165" t="s">
        <v>86</v>
      </c>
      <c r="K3" s="185" t="s">
        <v>84</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31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18"/>
      <c r="G5" s="2318"/>
      <c r="H5" s="2318"/>
      <c r="I5" s="2318"/>
      <c r="J5" s="2318"/>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314" t="s">
        <v>307</v>
      </c>
      <c r="F7" s="2319"/>
      <c r="G7" s="2319"/>
      <c r="H7" s="2319"/>
      <c r="I7" s="2319"/>
      <c r="J7" s="2648" t="s">
        <v>308</v>
      </c>
      <c r="K7" s="437"/>
      <c r="L7" s="437"/>
      <c r="M7" s="437"/>
      <c r="N7" s="437"/>
      <c r="O7" s="164"/>
      <c r="P7" s="437"/>
      <c r="Q7" s="163"/>
      <c r="R7" s="163"/>
      <c r="S7" s="163"/>
      <c r="T7" s="163"/>
      <c r="IU7" s="444">
        <v>14</v>
      </c>
    </row>
    <row r="8" spans="1:255" s="1745" customFormat="1" ht="21" customHeight="1">
      <c r="A8" s="1082"/>
      <c r="B8" s="1087"/>
      <c r="C8" s="1082"/>
      <c r="D8" s="1422"/>
      <c r="E8" s="1475" t="s">
        <v>89</v>
      </c>
      <c r="F8" s="1467" t="s">
        <v>1881</v>
      </c>
      <c r="G8" s="1467" t="s">
        <v>49</v>
      </c>
      <c r="H8" s="1467" t="s">
        <v>51</v>
      </c>
      <c r="I8" s="1467" t="s">
        <v>1882</v>
      </c>
      <c r="J8" s="2649"/>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37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1883</v>
      </c>
      <c r="G10" s="1469"/>
      <c r="H10" s="1469"/>
      <c r="I10" s="1824"/>
      <c r="J10" s="2380"/>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83</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E453D-F45D-CD17-2E99-D263711C753D}">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452</v>
      </c>
      <c r="E2" s="1814"/>
      <c r="F2" s="1817" t="str">
        <f>IF(ROIV_INFO_NAME="","",ROIV_INFO_NAME)</f>
        <v>МУП "Городские тепловые сети" МО  "город Курчатов"</v>
      </c>
      <c r="G2" s="1842" t="s">
        <v>28</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84</v>
      </c>
      <c r="G3" s="1661" t="s">
        <v>85</v>
      </c>
      <c r="H3" s="431"/>
      <c r="I3" s="431"/>
      <c r="J3" s="431"/>
      <c r="K3" s="431"/>
      <c r="L3" s="165" t="s">
        <v>86</v>
      </c>
      <c r="M3" s="185" t="s">
        <v>84</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31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18"/>
      <c r="G5" s="2318"/>
      <c r="H5" s="2318"/>
      <c r="I5" s="2318"/>
      <c r="J5" s="2318"/>
      <c r="K5" s="2318"/>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314" t="s">
        <v>307</v>
      </c>
      <c r="F7" s="2319"/>
      <c r="G7" s="2319"/>
      <c r="H7" s="2319"/>
      <c r="I7" s="2319"/>
      <c r="J7" s="2319"/>
      <c r="K7" s="2319"/>
      <c r="L7" s="2648" t="s">
        <v>308</v>
      </c>
      <c r="M7" s="437"/>
      <c r="N7" s="437"/>
      <c r="O7" s="437"/>
      <c r="P7" s="437"/>
      <c r="Q7" s="164"/>
      <c r="R7" s="437"/>
      <c r="S7" s="163"/>
      <c r="T7" s="163"/>
      <c r="U7" s="163"/>
      <c r="V7" s="163"/>
      <c r="IW7" s="444">
        <v>14</v>
      </c>
    </row>
    <row r="8" spans="1:257" s="1745" customFormat="1" ht="67.150000000000006" customHeight="1">
      <c r="A8" s="1082"/>
      <c r="B8" s="1087"/>
      <c r="C8" s="1082"/>
      <c r="D8" s="1422"/>
      <c r="E8" s="2652" t="s">
        <v>89</v>
      </c>
      <c r="F8" s="265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5"/>
      <c r="I8" s="2656"/>
      <c r="J8" s="265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50"/>
      <c r="M8" s="437"/>
      <c r="N8" s="437"/>
      <c r="O8" s="437"/>
      <c r="P8" s="437"/>
      <c r="Q8" s="164"/>
      <c r="R8" s="437"/>
      <c r="S8" s="163"/>
      <c r="T8" s="163"/>
      <c r="U8" s="163"/>
      <c r="V8" s="163"/>
      <c r="IW8" s="444">
        <v>64</v>
      </c>
    </row>
    <row r="9" spans="1:257" s="1745" customFormat="1" ht="29.25" customHeight="1">
      <c r="A9" s="1082"/>
      <c r="B9" s="1087"/>
      <c r="C9" s="1082"/>
      <c r="D9" s="1422"/>
      <c r="E9" s="2653"/>
      <c r="F9" s="2653"/>
      <c r="G9" s="1464" t="s">
        <v>1884</v>
      </c>
      <c r="H9" s="1464" t="s">
        <v>1885</v>
      </c>
      <c r="I9" s="1464" t="s">
        <v>1886</v>
      </c>
      <c r="J9" s="2653"/>
      <c r="K9" s="2653"/>
      <c r="L9" s="2649"/>
      <c r="M9" s="437"/>
      <c r="N9" s="437"/>
      <c r="O9" s="437"/>
      <c r="P9" s="437"/>
      <c r="Q9" s="164"/>
      <c r="R9" s="437"/>
      <c r="S9" s="163"/>
      <c r="T9" s="163"/>
      <c r="U9" s="163"/>
      <c r="V9" s="163"/>
      <c r="IW9" s="444">
        <v>28</v>
      </c>
    </row>
    <row r="10" spans="1:257" s="1775" customFormat="1" ht="23.25" customHeight="1">
      <c r="A10" s="2317"/>
      <c r="B10" s="1087">
        <v>1</v>
      </c>
      <c r="C10" s="1087"/>
      <c r="D10" s="731"/>
      <c r="E10" s="729">
        <v>1</v>
      </c>
      <c r="F10" s="1466" t="str">
        <f>IF(ROIV_INFO_NAME="","",ROIV_INFO_NAME)</f>
        <v>МУП "Городские тепловые сети" МО  "город Курчатов"</v>
      </c>
      <c r="G10" s="1658" t="s">
        <v>28</v>
      </c>
      <c r="H10" s="1841"/>
      <c r="I10" s="1461"/>
      <c r="J10" s="749"/>
      <c r="K10" s="749"/>
      <c r="L10" s="26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317"/>
      <c r="B11" s="1087"/>
      <c r="C11" s="349"/>
      <c r="D11" s="732"/>
      <c r="E11" s="358"/>
      <c r="F11" s="353" t="s">
        <v>1887</v>
      </c>
      <c r="G11" s="125"/>
      <c r="H11" s="125"/>
      <c r="I11" s="125"/>
      <c r="J11" s="125"/>
      <c r="K11" s="361"/>
      <c r="L11" s="2651"/>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83</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EE89E-BF85-4399-5475-EEE38D66ADBE}">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452</v>
      </c>
      <c r="E2" s="1829"/>
      <c r="F2" s="1831" t="str">
        <f>IF(ROIV_INFO_NAME="","",ROIV_INFO_NAME)</f>
        <v>МУП "Городские тепловые сети" МО  "город Курчатов"</v>
      </c>
      <c r="G2" s="1658" t="s">
        <v>28</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84</v>
      </c>
      <c r="G3" s="1661" t="s">
        <v>85</v>
      </c>
      <c r="H3" s="1818"/>
      <c r="I3" s="1818"/>
      <c r="J3" s="1818"/>
      <c r="K3" s="1818"/>
      <c r="L3" s="165" t="s">
        <v>86</v>
      </c>
      <c r="M3" s="186" t="s">
        <v>84</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31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18"/>
      <c r="G5" s="2318"/>
      <c r="H5" s="2318"/>
      <c r="I5" s="2318"/>
      <c r="J5" s="2318"/>
      <c r="K5" s="2318"/>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314" t="s">
        <v>307</v>
      </c>
      <c r="F7" s="2319"/>
      <c r="G7" s="2319"/>
      <c r="H7" s="2319"/>
      <c r="I7" s="2319"/>
      <c r="J7" s="2319"/>
      <c r="K7" s="2319"/>
      <c r="L7" s="2648" t="s">
        <v>308</v>
      </c>
      <c r="M7" s="1551"/>
      <c r="N7" s="1551"/>
      <c r="O7" s="1551"/>
      <c r="P7" s="1551"/>
      <c r="Q7" s="1551"/>
      <c r="R7" s="1551"/>
      <c r="S7" s="163"/>
      <c r="T7" s="163"/>
      <c r="U7" s="163"/>
      <c r="V7" s="163"/>
      <c r="IW7" s="1536">
        <v>14</v>
      </c>
    </row>
    <row r="8" spans="1:257" s="1745" customFormat="1" ht="67.150000000000006" customHeight="1">
      <c r="A8" s="1558"/>
      <c r="B8" s="1293"/>
      <c r="C8" s="1558"/>
      <c r="D8" s="1442"/>
      <c r="E8" s="2652" t="s">
        <v>89</v>
      </c>
      <c r="F8" s="2652" t="s">
        <v>1888</v>
      </c>
      <c r="G8" s="2654" t="s">
        <v>1889</v>
      </c>
      <c r="H8" s="2655"/>
      <c r="I8" s="2656"/>
      <c r="J8" s="2652" t="s">
        <v>1890</v>
      </c>
      <c r="K8" s="26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50"/>
      <c r="M8" s="1551"/>
      <c r="N8" s="1551"/>
      <c r="O8" s="1551"/>
      <c r="P8" s="1551"/>
      <c r="Q8" s="1551"/>
      <c r="R8" s="1551"/>
      <c r="S8" s="163"/>
      <c r="T8" s="163"/>
      <c r="U8" s="163"/>
      <c r="V8" s="163"/>
      <c r="IW8" s="1536">
        <v>64</v>
      </c>
    </row>
    <row r="9" spans="1:257" s="1745" customFormat="1" ht="29.25" customHeight="1">
      <c r="A9" s="1558"/>
      <c r="B9" s="1293"/>
      <c r="C9" s="1558"/>
      <c r="D9" s="1442"/>
      <c r="E9" s="2653"/>
      <c r="F9" s="2653"/>
      <c r="G9" s="1819" t="s">
        <v>1884</v>
      </c>
      <c r="H9" s="1819" t="s">
        <v>1885</v>
      </c>
      <c r="I9" s="1819" t="s">
        <v>1886</v>
      </c>
      <c r="J9" s="2653"/>
      <c r="K9" s="2653"/>
      <c r="L9" s="2649"/>
      <c r="M9" s="1551"/>
      <c r="N9" s="1551"/>
      <c r="O9" s="1551"/>
      <c r="P9" s="1551"/>
      <c r="Q9" s="1551"/>
      <c r="R9" s="1551"/>
      <c r="S9" s="163"/>
      <c r="T9" s="163"/>
      <c r="U9" s="163"/>
      <c r="V9" s="163"/>
      <c r="IW9" s="1536">
        <v>28</v>
      </c>
    </row>
    <row r="10" spans="1:257" s="1775" customFormat="1" ht="1.1499999999999999" customHeight="1">
      <c r="A10" s="2317"/>
      <c r="B10" s="1293">
        <v>1</v>
      </c>
      <c r="C10" s="1293"/>
      <c r="D10" s="731"/>
      <c r="E10" s="726">
        <v>0</v>
      </c>
      <c r="F10" s="1816" t="str">
        <f>IF(ROIV_INFO_NAME="","",ROIV_INFO_NAME)</f>
        <v>МУП "Городские тепловые сети" МО  "город Курчатов"</v>
      </c>
      <c r="G10" s="1659" t="s">
        <v>28</v>
      </c>
      <c r="H10" s="1828"/>
      <c r="I10" s="1828"/>
      <c r="J10" s="456"/>
      <c r="K10" s="456"/>
      <c r="L10" s="26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317"/>
      <c r="B11" s="1293"/>
      <c r="C11" s="349"/>
      <c r="D11" s="732"/>
      <c r="E11" s="358"/>
      <c r="F11" s="588" t="s">
        <v>1887</v>
      </c>
      <c r="G11" s="125"/>
      <c r="H11" s="125"/>
      <c r="I11" s="125"/>
      <c r="J11" s="125"/>
      <c r="K11" s="361"/>
      <c r="L11" s="2651"/>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83</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E2757-C481-F86A-654A-751FF9B4286D}">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452</v>
      </c>
      <c r="E2" s="2332">
        <v>1</v>
      </c>
      <c r="F2" s="2517" t="str">
        <f>IF(region_name="","",region_name)</f>
        <v>Курская область</v>
      </c>
      <c r="G2" s="2665"/>
      <c r="H2" s="2666"/>
      <c r="I2" s="411"/>
      <c r="J2" s="1835">
        <v>1</v>
      </c>
      <c r="K2" s="1837"/>
      <c r="L2" s="1837"/>
      <c r="M2" s="1837"/>
      <c r="N2" s="429"/>
      <c r="O2" s="1462"/>
      <c r="P2" s="448"/>
      <c r="Q2" s="360">
        <v>0</v>
      </c>
    </row>
    <row r="3" spans="1:17" s="1775" customFormat="1" ht="22.5" hidden="1" customHeight="1">
      <c r="A3" s="762"/>
      <c r="B3" s="1087"/>
      <c r="C3" s="1087"/>
      <c r="D3" s="732"/>
      <c r="E3" s="2332"/>
      <c r="F3" s="2517"/>
      <c r="G3" s="2665"/>
      <c r="H3" s="2667"/>
      <c r="I3" s="358"/>
      <c r="J3" s="1427"/>
      <c r="K3" s="1427" t="s">
        <v>1891</v>
      </c>
      <c r="L3" s="1470"/>
      <c r="M3" s="1845"/>
      <c r="N3" s="1838"/>
      <c r="O3" s="1462"/>
      <c r="P3" s="448"/>
      <c r="Q3" s="360">
        <v>0</v>
      </c>
    </row>
    <row r="4" spans="1:17" s="1569" customFormat="1" ht="5.25" hidden="1" customHeight="1">
      <c r="A4" s="433"/>
      <c r="D4" s="431"/>
      <c r="F4" s="185" t="s">
        <v>84</v>
      </c>
      <c r="G4" s="431" t="s">
        <v>85</v>
      </c>
      <c r="H4" s="431"/>
      <c r="I4" s="1848"/>
      <c r="J4" s="1471"/>
      <c r="K4" s="1836"/>
      <c r="L4" s="1836"/>
      <c r="M4" s="1836"/>
      <c r="N4" s="1832"/>
      <c r="O4" s="185" t="s">
        <v>84</v>
      </c>
      <c r="P4" s="185"/>
      <c r="Q4" s="448">
        <v>0</v>
      </c>
    </row>
    <row r="5" spans="1:17" s="1775" customFormat="1" ht="22.5" hidden="1" customHeight="1">
      <c r="A5" s="1568"/>
      <c r="B5" s="1293">
        <v>1</v>
      </c>
      <c r="C5" s="1293"/>
      <c r="D5" s="732"/>
      <c r="E5" s="1838"/>
      <c r="F5" s="1838"/>
      <c r="G5" s="1838"/>
      <c r="H5" s="1849"/>
      <c r="I5" s="1851" t="s">
        <v>452</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65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59"/>
      <c r="G7" s="2659"/>
      <c r="H7" s="2659"/>
      <c r="I7" s="2659"/>
      <c r="J7" s="2659"/>
      <c r="K7" s="2659"/>
      <c r="L7" s="2659"/>
      <c r="M7" s="2659"/>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662"/>
      <c r="J9" s="2662"/>
      <c r="K9" s="2662"/>
      <c r="L9" s="1839"/>
      <c r="M9" s="1840"/>
      <c r="O9" s="1472"/>
      <c r="P9" s="1472"/>
      <c r="Q9" s="1473">
        <v>0</v>
      </c>
    </row>
    <row r="10" spans="1:17" s="1745" customFormat="1" ht="14.65" customHeight="1">
      <c r="A10" s="1082"/>
      <c r="B10" s="1087"/>
      <c r="C10" s="1082"/>
      <c r="D10" s="1422"/>
      <c r="E10" s="2332" t="s">
        <v>307</v>
      </c>
      <c r="F10" s="2332"/>
      <c r="G10" s="2332"/>
      <c r="H10" s="2332"/>
      <c r="I10" s="2332"/>
      <c r="J10" s="2332"/>
      <c r="K10" s="2332"/>
      <c r="L10" s="2332"/>
      <c r="M10" s="2314"/>
      <c r="N10" s="2652" t="s">
        <v>308</v>
      </c>
      <c r="O10" s="437"/>
      <c r="P10" s="437"/>
      <c r="Q10" s="444">
        <v>14</v>
      </c>
    </row>
    <row r="11" spans="1:17" s="1745" customFormat="1" ht="44.25" customHeight="1">
      <c r="A11" s="1558"/>
      <c r="B11" s="1293"/>
      <c r="C11" s="1558"/>
      <c r="D11" s="1442"/>
      <c r="E11" s="2661" t="s">
        <v>89</v>
      </c>
      <c r="F11" s="2661" t="s">
        <v>311</v>
      </c>
      <c r="G11" s="2661" t="s">
        <v>1892</v>
      </c>
      <c r="H11" s="2661"/>
      <c r="I11" s="2661" t="s">
        <v>1893</v>
      </c>
      <c r="J11" s="2661"/>
      <c r="K11" s="2661"/>
      <c r="L11" s="2661" t="s">
        <v>1894</v>
      </c>
      <c r="M11" s="2654" t="s">
        <v>1895</v>
      </c>
      <c r="N11" s="2660"/>
      <c r="O11" s="1551"/>
      <c r="P11" s="1551"/>
      <c r="Q11" s="1536">
        <v>42</v>
      </c>
    </row>
    <row r="12" spans="1:17" s="1745" customFormat="1" ht="29.25" customHeight="1">
      <c r="A12" s="1082"/>
      <c r="B12" s="1087"/>
      <c r="C12" s="1082"/>
      <c r="D12" s="1422"/>
      <c r="E12" s="2652"/>
      <c r="F12" s="2661"/>
      <c r="G12" s="1834" t="s">
        <v>1896</v>
      </c>
      <c r="H12" s="1834" t="s">
        <v>315</v>
      </c>
      <c r="I12" s="2661"/>
      <c r="J12" s="2661"/>
      <c r="K12" s="2661"/>
      <c r="L12" s="2661"/>
      <c r="M12" s="2654"/>
      <c r="N12" s="2653"/>
      <c r="O12" s="437"/>
      <c r="P12" s="437"/>
      <c r="Q12" s="444">
        <v>28</v>
      </c>
    </row>
    <row r="13" spans="1:17" s="1775" customFormat="1" ht="23.25" customHeight="1">
      <c r="A13" s="2317">
        <v>26379339</v>
      </c>
      <c r="B13" s="1087">
        <v>1</v>
      </c>
      <c r="C13" s="1087"/>
      <c r="D13" s="732"/>
      <c r="E13" s="2332">
        <v>1</v>
      </c>
      <c r="F13" s="2668" t="str">
        <f>IF(region_name="","",region_name)</f>
        <v>Курская область</v>
      </c>
      <c r="G13" s="2669"/>
      <c r="H13" s="2663"/>
      <c r="I13" s="411"/>
      <c r="J13" s="1830">
        <v>1</v>
      </c>
      <c r="K13" s="1843"/>
      <c r="L13" s="1844"/>
      <c r="M13" s="1844"/>
      <c r="N13" s="2657" t="s">
        <v>1897</v>
      </c>
      <c r="O13" s="1462"/>
      <c r="P13" s="448"/>
      <c r="Q13" s="360">
        <v>22</v>
      </c>
    </row>
    <row r="14" spans="1:17" s="1775" customFormat="1" ht="23.25" customHeight="1">
      <c r="A14" s="2317"/>
      <c r="B14" s="1087"/>
      <c r="C14" s="1087"/>
      <c r="D14" s="732"/>
      <c r="E14" s="2332"/>
      <c r="F14" s="2668"/>
      <c r="G14" s="2669"/>
      <c r="H14" s="2664"/>
      <c r="I14" s="358"/>
      <c r="J14" s="1427"/>
      <c r="K14" s="1427" t="s">
        <v>1891</v>
      </c>
      <c r="L14" s="1470"/>
      <c r="M14" s="1470"/>
      <c r="N14" s="2658"/>
      <c r="O14" s="1462"/>
      <c r="P14" s="448"/>
      <c r="Q14" s="360">
        <v>22</v>
      </c>
    </row>
    <row r="15" spans="1:17" s="1775" customFormat="1" ht="23.25" customHeight="1">
      <c r="A15" s="2317"/>
      <c r="B15" s="1087"/>
      <c r="C15" s="349"/>
      <c r="D15" s="732"/>
      <c r="E15" s="358"/>
      <c r="F15" s="1427" t="s">
        <v>1883</v>
      </c>
      <c r="G15" s="1469"/>
      <c r="H15" s="1469"/>
      <c r="I15" s="125"/>
      <c r="J15" s="125"/>
      <c r="K15" s="125"/>
      <c r="L15" s="125"/>
      <c r="M15" s="125"/>
      <c r="N15" s="2658"/>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83</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E7471-B9DF-6961-E617-5A9C5E35FCA4}">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318" t="s">
        <v>1898</v>
      </c>
      <c r="E5" s="2318"/>
      <c r="F5" s="2318"/>
      <c r="G5" s="2318"/>
      <c r="H5" s="2318"/>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429" t="s">
        <v>307</v>
      </c>
      <c r="E8" s="2429"/>
      <c r="F8" s="2429"/>
      <c r="G8" s="2429"/>
      <c r="H8" s="2429"/>
      <c r="I8" s="2429" t="s">
        <v>308</v>
      </c>
      <c r="M8" s="61">
        <v>14</v>
      </c>
    </row>
    <row r="9" spans="1:13" ht="29.25" customHeight="1">
      <c r="D9" s="2429" t="s">
        <v>89</v>
      </c>
      <c r="E9" s="2429" t="s">
        <v>1899</v>
      </c>
      <c r="F9" s="2429"/>
      <c r="G9" s="2429"/>
      <c r="H9" s="2429"/>
      <c r="I9" s="2429"/>
      <c r="M9" s="61">
        <v>28</v>
      </c>
    </row>
    <row r="10" spans="1:13" ht="24" customHeight="1">
      <c r="D10" s="2429"/>
      <c r="E10" s="67" t="s">
        <v>1900</v>
      </c>
      <c r="F10" s="67" t="s">
        <v>1901</v>
      </c>
      <c r="G10" s="67" t="s">
        <v>1902</v>
      </c>
      <c r="H10" s="67" t="s">
        <v>397</v>
      </c>
      <c r="I10" s="2429"/>
      <c r="M10" s="61">
        <v>23</v>
      </c>
    </row>
    <row r="11" spans="1:13" ht="12" hidden="1" customHeight="1">
      <c r="D11" s="27" t="s">
        <v>110</v>
      </c>
      <c r="E11" s="27" t="s">
        <v>92</v>
      </c>
      <c r="F11" s="27" t="s">
        <v>112</v>
      </c>
      <c r="G11" s="27" t="s">
        <v>93</v>
      </c>
      <c r="H11" s="27" t="s">
        <v>94</v>
      </c>
      <c r="I11" s="27" t="s">
        <v>113</v>
      </c>
      <c r="M11" s="61">
        <v>0</v>
      </c>
    </row>
    <row r="12" spans="1:13" s="1748" customFormat="1" ht="26.25" customHeight="1">
      <c r="A12" s="83" t="s">
        <v>91</v>
      </c>
      <c r="B12" s="65" t="s">
        <v>28</v>
      </c>
      <c r="C12" s="66"/>
      <c r="D12" s="68" t="s">
        <v>110</v>
      </c>
      <c r="E12" s="318"/>
      <c r="F12" s="318"/>
      <c r="G12" s="1660" t="s">
        <v>28</v>
      </c>
      <c r="H12" s="319"/>
      <c r="I12" s="2378" t="s">
        <v>1903</v>
      </c>
      <c r="K12" s="210"/>
      <c r="L12" s="211"/>
      <c r="M12" s="57">
        <v>25</v>
      </c>
    </row>
    <row r="13" spans="1:13" ht="15.75" customHeight="1">
      <c r="A13" s="61"/>
      <c r="B13" s="61"/>
      <c r="C13" s="61"/>
      <c r="D13" s="49"/>
      <c r="E13" s="70" t="s">
        <v>477</v>
      </c>
      <c r="F13" s="69"/>
      <c r="G13" s="69"/>
      <c r="H13" s="152"/>
      <c r="I13" s="2380"/>
      <c r="M13" s="61">
        <v>15</v>
      </c>
    </row>
    <row r="14" spans="1:13" ht="3" customHeight="1">
      <c r="A14" s="61"/>
      <c r="B14" s="61"/>
      <c r="C14" s="61"/>
      <c r="M14" s="61">
        <v>3</v>
      </c>
    </row>
    <row r="15" spans="1:13" ht="29.25" customHeight="1">
      <c r="E15" s="2670" t="s">
        <v>1904</v>
      </c>
      <c r="F15" s="2670"/>
      <c r="G15" s="2670"/>
      <c r="H15" s="2670"/>
      <c r="M15" s="61">
        <v>28</v>
      </c>
    </row>
    <row r="16" spans="1:13" ht="14.25" hidden="1" customHeight="1">
      <c r="A16" s="58" t="s">
        <v>83</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028EF-69F8-6ABD-7F39-922E0598498A}">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671" t="s">
        <v>1905</v>
      </c>
      <c r="E7" s="2672"/>
      <c r="F7" s="205"/>
      <c r="J7" s="9">
        <v>22</v>
      </c>
    </row>
    <row r="8" spans="1:10" ht="3" customHeight="1">
      <c r="C8" s="32"/>
      <c r="D8" s="10"/>
      <c r="E8" s="10"/>
      <c r="J8" s="9">
        <v>3</v>
      </c>
    </row>
    <row r="9" spans="1:10" ht="16.899999999999999" customHeight="1">
      <c r="C9" s="32"/>
      <c r="D9" s="45" t="s">
        <v>89</v>
      </c>
      <c r="E9" s="198" t="s">
        <v>1906</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t="s">
        <v>1907</v>
      </c>
      <c r="J12" s="9">
        <v>15</v>
      </c>
    </row>
    <row r="13" spans="1:10" ht="12.75" customHeight="1">
      <c r="C13" s="32"/>
      <c r="D13" s="200"/>
      <c r="E13" s="201" t="s">
        <v>1908</v>
      </c>
      <c r="J13" s="9">
        <v>12</v>
      </c>
    </row>
    <row r="14" spans="1:10" ht="3" customHeight="1">
      <c r="J14" s="9">
        <v>3</v>
      </c>
    </row>
    <row r="15" spans="1:10" ht="23.25" customHeight="1">
      <c r="C15" s="76"/>
      <c r="D15" s="2670" t="s">
        <v>1909</v>
      </c>
      <c r="E15" s="2670"/>
      <c r="F15" s="77"/>
      <c r="G15" s="77"/>
      <c r="H15" s="77"/>
      <c r="I15" s="77"/>
      <c r="J15" s="9">
        <v>22</v>
      </c>
    </row>
    <row r="16" spans="1:10" ht="14.25" hidden="1" customHeight="1">
      <c r="A16" s="9" t="s">
        <v>83</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4DE7-ABEB-4326-D818-AD138E8CE946}">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318" t="s">
        <v>1910</v>
      </c>
      <c r="E7" s="2318"/>
      <c r="F7" s="205"/>
      <c r="M7" s="9">
        <v>22</v>
      </c>
    </row>
    <row r="8" spans="1:13" ht="3" customHeight="1">
      <c r="C8" s="32"/>
      <c r="D8" s="10"/>
      <c r="E8" s="10"/>
      <c r="M8" s="9">
        <v>3</v>
      </c>
    </row>
    <row r="9" spans="1:13" ht="16.899999999999999" customHeight="1">
      <c r="C9" s="32"/>
      <c r="D9" s="45" t="s">
        <v>89</v>
      </c>
      <c r="E9" s="48" t="s">
        <v>294</v>
      </c>
      <c r="M9" s="9">
        <v>16</v>
      </c>
    </row>
    <row r="10" spans="1:13" ht="12.75" customHeight="1">
      <c r="C10" s="32"/>
      <c r="D10" s="27" t="s">
        <v>110</v>
      </c>
      <c r="E10" s="27" t="s">
        <v>111</v>
      </c>
      <c r="M10" s="9">
        <v>12</v>
      </c>
    </row>
    <row r="11" spans="1:13" ht="15" hidden="1" customHeight="1">
      <c r="C11" s="32"/>
      <c r="D11" s="53">
        <v>0</v>
      </c>
      <c r="E11" s="87"/>
      <c r="M11" s="9">
        <v>0</v>
      </c>
    </row>
    <row r="12" spans="1:13" ht="14.65" customHeight="1">
      <c r="C12" s="32"/>
      <c r="D12" s="49"/>
      <c r="E12" s="47" t="s">
        <v>1908</v>
      </c>
      <c r="M12" s="9">
        <v>14</v>
      </c>
    </row>
    <row r="13" spans="1:13" ht="14.25" hidden="1" customHeight="1">
      <c r="A13" s="9" t="s">
        <v>83</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BA6A8-B9C4-5FF4-0025-74B3F9573B1F}">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673" t="s">
        <v>1911</v>
      </c>
      <c r="C2" s="2673"/>
      <c r="D2" s="2673"/>
      <c r="E2" s="206"/>
      <c r="F2" s="29">
        <v>22</v>
      </c>
    </row>
    <row r="3" spans="1:6" ht="3" customHeight="1">
      <c r="F3" s="29">
        <v>3</v>
      </c>
    </row>
    <row r="4" spans="1:6" ht="23.25" customHeight="1">
      <c r="B4" s="2015" t="s">
        <v>1912</v>
      </c>
      <c r="C4" s="320" t="s">
        <v>1913</v>
      </c>
      <c r="D4" s="320" t="s">
        <v>1914</v>
      </c>
      <c r="F4" s="29">
        <v>22</v>
      </c>
    </row>
    <row r="5" spans="1:6" ht="11.25" hidden="1" customHeight="1">
      <c r="A5" s="29" t="s">
        <v>83</v>
      </c>
      <c r="B5" s="29">
        <v>34</v>
      </c>
      <c r="C5" s="29">
        <v>85</v>
      </c>
      <c r="D5" s="29">
        <v>17</v>
      </c>
      <c r="E5" s="29">
        <v>8</v>
      </c>
      <c r="F5" s="29">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56669-BC1B-82C1-5852-4907F0743F83}">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1915</v>
      </c>
    </row>
    <row r="4" spans="1:80" s="202" customFormat="1" ht="15" customHeight="1">
      <c r="C4" s="1742"/>
      <c r="D4" s="53"/>
      <c r="E4" s="314"/>
    </row>
    <row r="6" spans="1:80" s="1741" customFormat="1" ht="17.25" customHeight="1">
      <c r="A6" s="1741" t="s">
        <v>1916</v>
      </c>
    </row>
    <row r="8" spans="1:80" s="202" customFormat="1" ht="17.25" customHeight="1">
      <c r="C8" s="1743"/>
      <c r="D8" s="53"/>
      <c r="E8" s="54"/>
    </row>
    <row r="11" spans="1:80" s="1741" customFormat="1" ht="17.25" customHeight="1">
      <c r="A11" s="1741" t="s">
        <v>1917</v>
      </c>
    </row>
    <row r="13" spans="1:80" s="1745" customFormat="1" ht="15" customHeight="1">
      <c r="A13" s="2446">
        <v>1</v>
      </c>
      <c r="B13" s="1087"/>
      <c r="C13" s="732" t="s">
        <v>452</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446"/>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446"/>
      <c r="B15" s="1087"/>
      <c r="C15" s="349"/>
      <c r="D15" s="732"/>
      <c r="E15" s="358"/>
      <c r="F15" s="115"/>
      <c r="G15" s="352" t="s">
        <v>103</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1918</v>
      </c>
    </row>
    <row r="19" spans="1:80" s="1775" customFormat="1" ht="15" customHeight="1">
      <c r="A19" s="1807"/>
      <c r="B19" s="1293">
        <v>1</v>
      </c>
      <c r="C19" s="1293"/>
      <c r="D19" s="731" t="s">
        <v>452</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1919</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452</v>
      </c>
      <c r="D23" s="2343" t="s">
        <v>110</v>
      </c>
      <c r="E23" s="2344"/>
      <c r="F23" s="2342" t="s">
        <v>19</v>
      </c>
      <c r="G23" s="2706"/>
      <c r="H23" s="2332">
        <v>1</v>
      </c>
      <c r="I23" s="2708" t="str">
        <f>IF(U23="","",INDEX(TERRITORY_MR_LIST,MATCH(U23,TERRITORY_LIST_ID,0)))</f>
        <v/>
      </c>
      <c r="J23" s="2342" t="s">
        <v>19</v>
      </c>
      <c r="K23" s="763"/>
      <c r="L23" s="1708" t="s">
        <v>110</v>
      </c>
      <c r="M23" s="540"/>
      <c r="N23" s="541"/>
      <c r="O23" s="541"/>
      <c r="P23" s="541"/>
      <c r="Q23" s="541"/>
      <c r="R23" s="541"/>
      <c r="S23" s="541"/>
      <c r="T23" s="541"/>
      <c r="U23" s="542"/>
      <c r="V23" s="541"/>
      <c r="W23" s="541"/>
      <c r="X23" s="532"/>
      <c r="Y23" s="532" t="s">
        <v>119</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343"/>
      <c r="E24" s="2345"/>
      <c r="F24" s="2342"/>
      <c r="G24" s="2707"/>
      <c r="H24" s="2332"/>
      <c r="I24" s="2709"/>
      <c r="J24" s="2342"/>
      <c r="K24" s="358"/>
      <c r="L24" s="115"/>
      <c r="M24" s="544" t="s">
        <v>120</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343"/>
      <c r="E25" s="2346"/>
      <c r="F25" s="2342"/>
      <c r="G25" s="358"/>
      <c r="H25" s="115"/>
      <c r="I25" s="517" t="s">
        <v>121</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1920</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710" t="s">
        <v>452</v>
      </c>
      <c r="H29" s="2313">
        <v>1</v>
      </c>
      <c r="I29" s="2711" t="str">
        <f>IF(U29="","",INDEX(TERRITORY_MR_LIST,MATCH(U29,TERRITORY_LIST_ID,0)))</f>
        <v/>
      </c>
      <c r="J29" s="2342" t="s">
        <v>19</v>
      </c>
      <c r="K29" s="763"/>
      <c r="L29" s="1708" t="s">
        <v>110</v>
      </c>
      <c r="M29" s="540"/>
      <c r="N29" s="541"/>
      <c r="O29" s="541"/>
      <c r="P29" s="541"/>
      <c r="Q29" s="541"/>
      <c r="R29" s="541"/>
      <c r="S29" s="541"/>
      <c r="T29" s="541"/>
      <c r="U29" s="542"/>
      <c r="V29" s="541"/>
      <c r="W29" s="541"/>
      <c r="X29" s="532"/>
      <c r="Y29" s="532" t="s">
        <v>119</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710"/>
      <c r="H30" s="2313"/>
      <c r="I30" s="2711"/>
      <c r="J30" s="2342"/>
      <c r="K30" s="358"/>
      <c r="L30" s="115"/>
      <c r="M30" s="544" t="s">
        <v>120</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1921</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452</v>
      </c>
      <c r="L34" s="1655" t="s">
        <v>110</v>
      </c>
      <c r="M34" s="742"/>
      <c r="N34" s="743"/>
      <c r="O34" s="541"/>
      <c r="P34" s="541"/>
      <c r="Q34" s="541"/>
      <c r="R34" s="541"/>
      <c r="S34" s="541"/>
      <c r="T34" s="541"/>
      <c r="U34" s="542"/>
      <c r="V34" s="541"/>
      <c r="W34" s="541"/>
      <c r="X34" s="532"/>
      <c r="Y34" s="532" t="s">
        <v>119</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1922</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1923</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1924</v>
      </c>
    </row>
    <row r="46" spans="1:38" ht="11.25" customHeight="1"/>
    <row r="47" spans="1:38" s="392" customFormat="1" ht="24" customHeight="1">
      <c r="A47" s="2422" t="s">
        <v>320</v>
      </c>
      <c r="B47" s="439"/>
      <c r="C47" s="2433"/>
      <c r="D47" s="382" t="str">
        <f>A47</f>
        <v>5.1</v>
      </c>
      <c r="E47" s="379" t="s">
        <v>321</v>
      </c>
      <c r="F47" s="1898" t="s">
        <v>313</v>
      </c>
      <c r="G47" s="381" t="s">
        <v>322</v>
      </c>
      <c r="H47" s="412"/>
      <c r="I47" s="783"/>
    </row>
    <row r="48" spans="1:38" s="392" customFormat="1" ht="22.5" customHeight="1">
      <c r="A48" s="2422"/>
      <c r="B48" s="439"/>
      <c r="C48" s="2433"/>
      <c r="D48" s="377" t="str">
        <f>D47&amp;".1"</f>
        <v>5.1.1</v>
      </c>
      <c r="E48" s="376" t="s">
        <v>323</v>
      </c>
      <c r="F48" s="1899" t="s">
        <v>28</v>
      </c>
      <c r="G48" s="411"/>
      <c r="H48" s="412"/>
      <c r="I48" s="783"/>
    </row>
    <row r="49" spans="1:45" s="392" customFormat="1" ht="22.5" customHeight="1">
      <c r="A49" s="2422"/>
      <c r="B49" s="439"/>
      <c r="C49" s="2433"/>
      <c r="D49" s="377" t="str">
        <f>D47&amp;".2"</f>
        <v>5.1.2</v>
      </c>
      <c r="E49" s="376" t="s">
        <v>324</v>
      </c>
      <c r="F49" s="1658" t="s">
        <v>28</v>
      </c>
      <c r="G49" s="381" t="s">
        <v>325</v>
      </c>
      <c r="H49" s="412"/>
      <c r="I49" s="783"/>
    </row>
    <row r="50" spans="1:45" s="392" customFormat="1" ht="22.5" customHeight="1">
      <c r="A50" s="2422"/>
      <c r="B50" s="439"/>
      <c r="C50" s="2433"/>
      <c r="D50" s="377" t="str">
        <f>D47&amp;".3"</f>
        <v>5.1.3</v>
      </c>
      <c r="E50" s="376" t="s">
        <v>326</v>
      </c>
      <c r="F50" s="1899" t="s">
        <v>28</v>
      </c>
      <c r="G50" s="411"/>
      <c r="H50" s="412"/>
      <c r="I50" s="783"/>
    </row>
    <row r="51" spans="1:45" s="392" customFormat="1" ht="22.5" customHeight="1">
      <c r="A51" s="2422"/>
      <c r="B51" s="439"/>
      <c r="C51" s="2433"/>
      <c r="D51" s="377" t="str">
        <f>D47&amp;".4"</f>
        <v>5.1.4</v>
      </c>
      <c r="E51" s="376" t="s">
        <v>327</v>
      </c>
      <c r="F51" s="1899" t="s">
        <v>28</v>
      </c>
      <c r="G51" s="381" t="s">
        <v>328</v>
      </c>
      <c r="H51" s="412"/>
      <c r="I51" s="783"/>
    </row>
    <row r="54" spans="1:45" s="1741" customFormat="1" ht="17.25" customHeight="1">
      <c r="A54" s="1741" t="s">
        <v>1925</v>
      </c>
    </row>
    <row r="56" spans="1:45" s="1539" customFormat="1" ht="18.75" customHeight="1">
      <c r="A56" s="29"/>
      <c r="B56" s="1748"/>
      <c r="C56" s="1748"/>
      <c r="D56" s="1749"/>
      <c r="E56" s="1735"/>
      <c r="F56" s="799">
        <v>13</v>
      </c>
      <c r="G56" s="798"/>
      <c r="H56" s="724"/>
      <c r="I56" s="722"/>
      <c r="J56" s="457" t="s">
        <v>67</v>
      </c>
      <c r="K56" s="1750" t="s">
        <v>28</v>
      </c>
      <c r="L56" s="29"/>
      <c r="M56" s="1563"/>
      <c r="N56" s="1563"/>
      <c r="O56" s="1563"/>
      <c r="P56" s="453" t="s">
        <v>399</v>
      </c>
      <c r="Q56" s="453" t="s">
        <v>400</v>
      </c>
      <c r="R56" s="454" t="s">
        <v>401</v>
      </c>
      <c r="S56" s="1563" t="s">
        <v>402</v>
      </c>
      <c r="T56" s="1563"/>
      <c r="U56" s="1563"/>
      <c r="V56" s="1563"/>
    </row>
    <row r="58" spans="1:45" s="1741" customFormat="1" ht="11.25" customHeight="1">
      <c r="A58" s="1741" t="s">
        <v>1926</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388</v>
      </c>
      <c r="AQ60" s="1551" t="s">
        <v>388</v>
      </c>
      <c r="AR60" s="1563"/>
      <c r="AS60" s="1563"/>
    </row>
    <row r="62" spans="1:45" s="1741" customFormat="1" ht="11.25" customHeight="1">
      <c r="A62" s="1741" t="s">
        <v>1927</v>
      </c>
    </row>
    <row r="64" spans="1:45" s="1748" customFormat="1" ht="15" customHeight="1">
      <c r="A64" s="83" t="s">
        <v>91</v>
      </c>
      <c r="B64" s="65" t="s">
        <v>28</v>
      </c>
      <c r="C64" s="1751"/>
      <c r="D64" s="68"/>
      <c r="E64" s="318"/>
      <c r="F64" s="318"/>
      <c r="G64" s="1729"/>
      <c r="H64" s="1750"/>
      <c r="I64" s="1730"/>
      <c r="K64" s="210"/>
      <c r="L64" s="211"/>
    </row>
    <row r="66" spans="1:30" s="1741" customFormat="1" ht="11.25" customHeight="1">
      <c r="A66" s="1741" t="s">
        <v>1928</v>
      </c>
    </row>
    <row r="68" spans="1:30" s="1562" customFormat="1" ht="14.25" customHeight="1">
      <c r="A68" s="281"/>
      <c r="B68" s="1087"/>
      <c r="C68" s="313"/>
      <c r="D68" s="1736"/>
      <c r="E68" s="816"/>
      <c r="F68" s="1750"/>
      <c r="G68" s="29"/>
      <c r="I68" s="1551"/>
      <c r="J68" s="1551"/>
    </row>
    <row r="70" spans="1:30" s="1741" customFormat="1" ht="11.25" customHeight="1">
      <c r="A70" s="1741" t="s">
        <v>1929</v>
      </c>
    </row>
    <row r="72" spans="1:30" s="1562" customFormat="1" ht="27" customHeight="1">
      <c r="A72" s="1093"/>
      <c r="B72" s="1093"/>
      <c r="C72" s="1093"/>
      <c r="D72" s="1087"/>
      <c r="E72" s="1752"/>
      <c r="F72" s="2674"/>
      <c r="G72" s="2675"/>
      <c r="H72" s="2676" t="s">
        <v>67</v>
      </c>
      <c r="I72" s="2678"/>
      <c r="J72" s="2680"/>
      <c r="K72" s="2682"/>
      <c r="L72" s="2693"/>
      <c r="M72" s="2693"/>
      <c r="N72" s="2714"/>
      <c r="O72" s="2714"/>
      <c r="P72" s="2715" t="e">
        <f>DATEDIF(DATEVALUE(N72),DATEVALUE(O72),"y")&amp;"г. "&amp;DATEDIF(DATEVALUE(N72),DATEVALUE(O72),"ym")&amp;"мес. "&amp;DATEVALUE(O72)-DATE(YEAR(DATEVALUE(O72)),MONTH(DATEVALUE(O72)),1)&amp;"дн. "</f>
        <v>#VALUE!</v>
      </c>
      <c r="Q72" s="2694"/>
      <c r="R72" s="2694"/>
      <c r="S72" s="2694"/>
      <c r="T72" s="2680"/>
      <c r="U72" s="2694"/>
      <c r="V72" s="2694"/>
      <c r="W72" s="2694"/>
      <c r="X72" s="2680"/>
      <c r="Y72" s="2712" t="s">
        <v>67</v>
      </c>
      <c r="Z72" s="1734"/>
      <c r="AA72" s="1718">
        <v>1</v>
      </c>
      <c r="AB72" s="1169"/>
      <c r="AD72" s="1563" t="s">
        <v>1930</v>
      </c>
    </row>
    <row r="73" spans="1:30" s="1562" customFormat="1" ht="10.5" customHeight="1">
      <c r="A73" s="1093"/>
      <c r="B73" s="1093"/>
      <c r="C73" s="1093"/>
      <c r="D73" s="1087"/>
      <c r="E73" s="877"/>
      <c r="F73" s="2674"/>
      <c r="G73" s="2675"/>
      <c r="H73" s="2677"/>
      <c r="I73" s="2679"/>
      <c r="J73" s="2681"/>
      <c r="K73" s="2682"/>
      <c r="L73" s="2693"/>
      <c r="M73" s="2693"/>
      <c r="N73" s="2714"/>
      <c r="O73" s="2714"/>
      <c r="P73" s="2715"/>
      <c r="Q73" s="2694"/>
      <c r="R73" s="2694"/>
      <c r="S73" s="2694"/>
      <c r="T73" s="2681"/>
      <c r="U73" s="2694"/>
      <c r="V73" s="2694"/>
      <c r="W73" s="2694"/>
      <c r="X73" s="2681"/>
      <c r="Y73" s="2713"/>
      <c r="Z73" s="285"/>
      <c r="AA73" s="509"/>
      <c r="AB73" s="589" t="s">
        <v>1931</v>
      </c>
    </row>
    <row r="75" spans="1:30" s="1741" customFormat="1" ht="11.25" customHeight="1">
      <c r="A75" s="1741" t="s">
        <v>1932</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1930</v>
      </c>
    </row>
    <row r="79" spans="1:30" s="1741" customFormat="1" ht="11.25" customHeight="1">
      <c r="A79" s="1741" t="s">
        <v>1933</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718"/>
      <c r="G82" s="2634"/>
      <c r="H82" s="2721" t="s">
        <v>383</v>
      </c>
      <c r="I82" s="2722"/>
      <c r="J82" s="2686"/>
      <c r="K82" s="2686"/>
      <c r="L82" s="2716"/>
      <c r="M82" s="2465"/>
      <c r="N82" s="1958"/>
      <c r="O82" s="1957"/>
      <c r="P82" s="1958"/>
      <c r="Q82" s="1958"/>
      <c r="R82" s="1958"/>
      <c r="S82" s="1958"/>
      <c r="T82" s="1958"/>
      <c r="U82" s="1958"/>
      <c r="V82" s="1958"/>
      <c r="W82" s="1958"/>
      <c r="X82" s="1958"/>
      <c r="Y82" s="1958"/>
      <c r="Z82" s="1958"/>
      <c r="AA82" s="1958"/>
      <c r="AB82" s="1958"/>
      <c r="AC82" s="1958"/>
      <c r="AD82" s="1958"/>
      <c r="AE82" s="1958"/>
      <c r="AF82" s="2720"/>
      <c r="AG82" s="2716"/>
      <c r="AH82" s="2716"/>
      <c r="AI82" s="2720"/>
      <c r="AJ82" s="2716"/>
      <c r="AK82" s="2716"/>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718"/>
      <c r="G83" s="2634"/>
      <c r="H83" s="2721"/>
      <c r="I83" s="2722"/>
      <c r="J83" s="2686"/>
      <c r="K83" s="2686"/>
      <c r="L83" s="2716"/>
      <c r="M83" s="2465"/>
      <c r="N83" s="2723"/>
      <c r="O83" s="2724"/>
      <c r="P83" s="2683"/>
      <c r="Q83" s="2686"/>
      <c r="R83" s="2686"/>
      <c r="S83" s="2686"/>
      <c r="T83" s="2686"/>
      <c r="U83" s="2686"/>
      <c r="V83" s="2686"/>
      <c r="W83" s="2686"/>
      <c r="X83" s="2686"/>
      <c r="Y83" s="2686"/>
      <c r="Z83" s="1959"/>
      <c r="AA83" s="1960"/>
      <c r="AB83" s="1960"/>
      <c r="AC83" s="1961"/>
      <c r="AD83" s="1961"/>
      <c r="AE83" s="1962"/>
      <c r="AF83" s="2720"/>
      <c r="AG83" s="2716"/>
      <c r="AH83" s="2716"/>
      <c r="AI83" s="2720"/>
      <c r="AJ83" s="2716"/>
      <c r="AK83" s="2716"/>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718"/>
      <c r="G84" s="2634"/>
      <c r="H84" s="2721"/>
      <c r="I84" s="2722"/>
      <c r="J84" s="2686"/>
      <c r="K84" s="2686"/>
      <c r="L84" s="2716"/>
      <c r="M84" s="2465"/>
      <c r="N84" s="2723"/>
      <c r="O84" s="2724"/>
      <c r="P84" s="2684"/>
      <c r="Q84" s="2686"/>
      <c r="R84" s="2686"/>
      <c r="S84" s="2686"/>
      <c r="T84" s="2686"/>
      <c r="U84" s="2686"/>
      <c r="V84" s="2686"/>
      <c r="W84" s="2686"/>
      <c r="X84" s="2686"/>
      <c r="Y84" s="2686"/>
      <c r="Z84" s="1963"/>
      <c r="AA84" s="1964"/>
      <c r="AB84" s="1965"/>
      <c r="AC84" s="1966"/>
      <c r="AD84" s="1965"/>
      <c r="AE84" s="1966"/>
      <c r="AF84" s="2720"/>
      <c r="AG84" s="2716"/>
      <c r="AH84" s="2716"/>
      <c r="AI84" s="2720"/>
      <c r="AJ84" s="2716"/>
      <c r="AK84" s="2716"/>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718"/>
      <c r="G85" s="2634"/>
      <c r="H85" s="2721"/>
      <c r="I85" s="2722"/>
      <c r="J85" s="2686"/>
      <c r="K85" s="2686"/>
      <c r="L85" s="2716"/>
      <c r="M85" s="2465"/>
      <c r="N85" s="2723"/>
      <c r="O85" s="2724"/>
      <c r="P85" s="2685"/>
      <c r="Q85" s="2686"/>
      <c r="R85" s="2686"/>
      <c r="S85" s="2686"/>
      <c r="T85" s="2686"/>
      <c r="U85" s="2686"/>
      <c r="V85" s="2686"/>
      <c r="W85" s="2686"/>
      <c r="X85" s="2686"/>
      <c r="Y85" s="2686"/>
      <c r="Z85" s="1959"/>
      <c r="AA85" s="1960"/>
      <c r="AB85" s="1967"/>
      <c r="AC85" s="1961"/>
      <c r="AD85" s="1961"/>
      <c r="AE85" s="1968"/>
      <c r="AF85" s="2720"/>
      <c r="AG85" s="2716"/>
      <c r="AH85" s="2716"/>
      <c r="AI85" s="2720"/>
      <c r="AJ85" s="2716"/>
      <c r="AK85" s="2716"/>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718"/>
      <c r="G86" s="2634"/>
      <c r="H86" s="2721"/>
      <c r="I86" s="2722"/>
      <c r="J86" s="2686"/>
      <c r="K86" s="2686"/>
      <c r="L86" s="2716"/>
      <c r="M86" s="2465"/>
      <c r="N86" s="1960"/>
      <c r="O86" s="1960"/>
      <c r="P86" s="1967"/>
      <c r="Q86" s="1960"/>
      <c r="R86" s="1960"/>
      <c r="S86" s="1960"/>
      <c r="T86" s="1960"/>
      <c r="U86" s="1960"/>
      <c r="V86" s="1960"/>
      <c r="W86" s="1960"/>
      <c r="X86" s="1960"/>
      <c r="Y86" s="1960"/>
      <c r="Z86" s="1960"/>
      <c r="AA86" s="1960"/>
      <c r="AB86" s="1960"/>
      <c r="AC86" s="1960"/>
      <c r="AD86" s="1960"/>
      <c r="AE86" s="1969"/>
      <c r="AF86" s="2720"/>
      <c r="AG86" s="2716"/>
      <c r="AH86" s="2716"/>
      <c r="AI86" s="2720"/>
      <c r="AJ86" s="2716"/>
      <c r="AK86" s="2716"/>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719"/>
      <c r="G87" s="1117"/>
      <c r="H87" s="1117"/>
      <c r="I87" s="2717" t="s">
        <v>1934</v>
      </c>
      <c r="J87" s="2717"/>
      <c r="K87" s="2717"/>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1935</v>
      </c>
    </row>
    <row r="91" spans="1:58" s="1562" customFormat="1" ht="11.25" customHeight="1">
      <c r="A91" s="1093"/>
      <c r="B91" s="1093"/>
      <c r="C91" s="1093"/>
      <c r="D91" s="1087"/>
      <c r="E91" s="1097"/>
      <c r="F91" s="1754"/>
      <c r="G91" s="1755"/>
      <c r="H91" s="1755"/>
      <c r="I91" s="1690"/>
      <c r="J91" s="1690"/>
      <c r="K91" s="1756"/>
      <c r="L91" s="1690"/>
      <c r="M91" s="1755"/>
      <c r="N91" s="2687"/>
      <c r="O91" s="2688">
        <v>1</v>
      </c>
      <c r="P91" s="2689" t="s">
        <v>19</v>
      </c>
      <c r="Q91" s="2598" t="s">
        <v>28</v>
      </c>
      <c r="R91" s="2598" t="s">
        <v>28</v>
      </c>
      <c r="S91" s="2598" t="s">
        <v>28</v>
      </c>
      <c r="T91" s="2598" t="s">
        <v>28</v>
      </c>
      <c r="U91" s="2598" t="s">
        <v>28</v>
      </c>
      <c r="V91" s="2598" t="s">
        <v>28</v>
      </c>
      <c r="W91" s="2598" t="s">
        <v>28</v>
      </c>
      <c r="X91" s="2598" t="s">
        <v>28</v>
      </c>
      <c r="Y91" s="2598"/>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687"/>
      <c r="O92" s="2688"/>
      <c r="P92" s="2690"/>
      <c r="Q92" s="2598"/>
      <c r="R92" s="2598"/>
      <c r="S92" s="2692"/>
      <c r="T92" s="2598"/>
      <c r="U92" s="2598"/>
      <c r="V92" s="2598"/>
      <c r="W92" s="2598"/>
      <c r="X92" s="2598"/>
      <c r="Y92" s="2598"/>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687"/>
      <c r="O93" s="2688"/>
      <c r="P93" s="2691"/>
      <c r="Q93" s="2598"/>
      <c r="R93" s="2598"/>
      <c r="S93" s="2692"/>
      <c r="T93" s="2598"/>
      <c r="U93" s="2598"/>
      <c r="V93" s="2598"/>
      <c r="W93" s="2598"/>
      <c r="X93" s="2598"/>
      <c r="Y93" s="2598"/>
      <c r="Z93" s="1102"/>
      <c r="AA93" s="1103"/>
      <c r="AB93" s="1168" t="s">
        <v>1936</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1937</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1938</v>
      </c>
    </row>
    <row r="101" spans="1:184" s="1562" customFormat="1" ht="11.25" customHeight="1">
      <c r="A101" s="1093"/>
      <c r="B101" s="1093"/>
      <c r="C101" s="1093"/>
      <c r="D101" s="1087"/>
      <c r="E101" s="1097"/>
      <c r="F101" s="1754"/>
      <c r="G101" s="1755"/>
      <c r="H101" s="2634" t="s">
        <v>110</v>
      </c>
      <c r="I101" s="2737"/>
      <c r="J101" s="2667"/>
      <c r="K101" s="2735"/>
      <c r="L101" s="2342" t="s">
        <v>19</v>
      </c>
      <c r="M101" s="2343"/>
      <c r="N101" s="1908"/>
      <c r="O101" s="1104" t="s">
        <v>383</v>
      </c>
      <c r="P101" s="1105"/>
      <c r="Q101" s="1105"/>
      <c r="R101" s="1105"/>
      <c r="S101" s="1105"/>
      <c r="T101" s="1105"/>
      <c r="U101" s="1105"/>
      <c r="V101" s="1105"/>
      <c r="W101" s="1105"/>
      <c r="X101" s="1105"/>
      <c r="Y101" s="1105"/>
      <c r="Z101" s="1105"/>
      <c r="AA101" s="1105"/>
      <c r="AB101" s="1105"/>
      <c r="AC101" s="1105"/>
      <c r="AD101" s="1105"/>
      <c r="AE101" s="1105"/>
      <c r="AF101" s="2738"/>
      <c r="AG101" s="2739"/>
      <c r="AH101" s="2739"/>
      <c r="AI101" s="2738"/>
      <c r="AJ101" s="2739"/>
      <c r="AK101" s="2739"/>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634"/>
      <c r="I102" s="2737"/>
      <c r="J102" s="2667"/>
      <c r="K102" s="2735"/>
      <c r="L102" s="2342"/>
      <c r="M102" s="2343"/>
      <c r="N102" s="2687"/>
      <c r="O102" s="2740">
        <v>1</v>
      </c>
      <c r="P102" s="2689" t="s">
        <v>19</v>
      </c>
      <c r="Q102" s="2598" t="s">
        <v>28</v>
      </c>
      <c r="R102" s="2598" t="s">
        <v>28</v>
      </c>
      <c r="S102" s="2598" t="s">
        <v>28</v>
      </c>
      <c r="T102" s="2598" t="s">
        <v>28</v>
      </c>
      <c r="U102" s="2598" t="s">
        <v>28</v>
      </c>
      <c r="V102" s="2598" t="s">
        <v>28</v>
      </c>
      <c r="W102" s="2598" t="s">
        <v>28</v>
      </c>
      <c r="X102" s="2598" t="s">
        <v>28</v>
      </c>
      <c r="Y102" s="2598"/>
      <c r="Z102" s="1102"/>
      <c r="AA102" s="1103"/>
      <c r="AB102" s="1103"/>
      <c r="AC102" s="1107"/>
      <c r="AD102" s="1107"/>
      <c r="AE102" s="1108"/>
      <c r="AF102" s="2738"/>
      <c r="AG102" s="2739"/>
      <c r="AH102" s="2739"/>
      <c r="AI102" s="2738"/>
      <c r="AJ102" s="2739"/>
      <c r="AK102" s="2739"/>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634"/>
      <c r="I103" s="2737"/>
      <c r="J103" s="2667"/>
      <c r="K103" s="2735"/>
      <c r="L103" s="2342"/>
      <c r="M103" s="2343"/>
      <c r="N103" s="2687"/>
      <c r="O103" s="2740"/>
      <c r="P103" s="2690"/>
      <c r="Q103" s="2598"/>
      <c r="R103" s="2598"/>
      <c r="S103" s="2692"/>
      <c r="T103" s="2598"/>
      <c r="U103" s="2598"/>
      <c r="V103" s="2598"/>
      <c r="W103" s="2598"/>
      <c r="X103" s="2598"/>
      <c r="Y103" s="2598"/>
      <c r="Z103" s="1753"/>
      <c r="AA103" s="1720">
        <v>1</v>
      </c>
      <c r="AB103" s="1106"/>
      <c r="AC103" s="1096"/>
      <c r="AD103" s="1106">
        <f>AB103</f>
        <v>0</v>
      </c>
      <c r="AE103" s="1096"/>
      <c r="AF103" s="2738"/>
      <c r="AG103" s="2739"/>
      <c r="AH103" s="2739"/>
      <c r="AI103" s="2738"/>
      <c r="AJ103" s="2739"/>
      <c r="AK103" s="2739"/>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634"/>
      <c r="I104" s="2737"/>
      <c r="J104" s="2667"/>
      <c r="K104" s="2735"/>
      <c r="L104" s="2342"/>
      <c r="M104" s="2343"/>
      <c r="N104" s="2687"/>
      <c r="O104" s="2740"/>
      <c r="P104" s="2691"/>
      <c r="Q104" s="2598"/>
      <c r="R104" s="2598"/>
      <c r="S104" s="2692"/>
      <c r="T104" s="2598"/>
      <c r="U104" s="2598"/>
      <c r="V104" s="2598"/>
      <c r="W104" s="2598"/>
      <c r="X104" s="2598"/>
      <c r="Y104" s="2598"/>
      <c r="Z104" s="1102"/>
      <c r="AA104" s="1103"/>
      <c r="AB104" s="1168" t="s">
        <v>1936</v>
      </c>
      <c r="AC104" s="1107"/>
      <c r="AD104" s="1107"/>
      <c r="AE104" s="1109"/>
      <c r="AF104" s="2738"/>
      <c r="AG104" s="2739"/>
      <c r="AH104" s="2739"/>
      <c r="AI104" s="2738"/>
      <c r="AJ104" s="2739"/>
      <c r="AK104" s="2739"/>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634"/>
      <c r="I105" s="2737"/>
      <c r="J105" s="2667"/>
      <c r="K105" s="2735"/>
      <c r="L105" s="2342"/>
      <c r="M105" s="2343"/>
      <c r="N105" s="1102"/>
      <c r="O105" s="1103"/>
      <c r="P105" s="1095" t="s">
        <v>1939</v>
      </c>
      <c r="Q105" s="1103"/>
      <c r="R105" s="1103"/>
      <c r="S105" s="1103"/>
      <c r="T105" s="1103"/>
      <c r="U105" s="1103"/>
      <c r="V105" s="1103"/>
      <c r="W105" s="1103"/>
      <c r="X105" s="1103"/>
      <c r="Y105" s="1103"/>
      <c r="Z105" s="1103"/>
      <c r="AA105" s="1103"/>
      <c r="AB105" s="1103"/>
      <c r="AC105" s="1103"/>
      <c r="AD105" s="1103"/>
      <c r="AE105" s="1110"/>
      <c r="AF105" s="2738"/>
      <c r="AG105" s="2739"/>
      <c r="AH105" s="2739"/>
      <c r="AI105" s="2738"/>
      <c r="AJ105" s="2739"/>
      <c r="AK105" s="2739"/>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1940</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1941</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1942</v>
      </c>
    </row>
    <row r="115" spans="1:83" s="1775" customFormat="1" ht="15" customHeight="1">
      <c r="A115" s="560"/>
      <c r="B115" s="561"/>
      <c r="C115" s="561"/>
      <c r="D115" s="2696" t="s">
        <v>110</v>
      </c>
      <c r="E115" s="2579" t="s">
        <v>106</v>
      </c>
      <c r="F115" s="2580"/>
      <c r="G115" s="2581"/>
      <c r="H115" s="2575" t="str">
        <f>IF(A115="","",INDEX(DIFFERENTIATION_UNMERGE_VD,MATCH(A115,DIFFERENTIATION_ID_DIFF,0)))</f>
        <v/>
      </c>
      <c r="I115" s="2575"/>
      <c r="J115" s="2575"/>
      <c r="K115" s="2575"/>
      <c r="L115" s="2575"/>
      <c r="M115" s="2575"/>
      <c r="N115" s="2575"/>
      <c r="O115" s="2575"/>
      <c r="P115" s="2575"/>
      <c r="Q115" s="2575"/>
      <c r="R115" s="2575"/>
      <c r="S115" s="656"/>
      <c r="T115" s="653"/>
      <c r="U115" s="562"/>
      <c r="V115" s="562"/>
      <c r="W115" s="563"/>
      <c r="X115" s="563"/>
      <c r="Y115" s="563"/>
      <c r="Z115" s="563"/>
      <c r="AA115" s="564"/>
      <c r="AB115" s="565"/>
      <c r="AC115" s="2578"/>
      <c r="AD115" s="566"/>
      <c r="AE115" s="567" t="s">
        <v>28</v>
      </c>
      <c r="AF115" s="567"/>
      <c r="AG115" s="568" t="s">
        <v>618</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697"/>
      <c r="E116" s="2579" t="s">
        <v>573</v>
      </c>
      <c r="F116" s="2580"/>
      <c r="G116" s="2581"/>
      <c r="H116" s="2575" t="str">
        <f>IF(A115="","",INDEX(DIFFERENTIATION_UNMERGE_AREA,MATCH(A115,DIFFERENTIATION_ID_DIFF,0)))</f>
        <v/>
      </c>
      <c r="I116" s="2575"/>
      <c r="J116" s="2575"/>
      <c r="K116" s="2575"/>
      <c r="L116" s="2575"/>
      <c r="M116" s="2575"/>
      <c r="N116" s="2575"/>
      <c r="O116" s="2575"/>
      <c r="P116" s="2575"/>
      <c r="Q116" s="2575"/>
      <c r="R116" s="2575"/>
      <c r="S116" s="656"/>
      <c r="T116" s="653"/>
      <c r="U116" s="562"/>
      <c r="V116" s="562"/>
      <c r="W116" s="563"/>
      <c r="X116" s="563"/>
      <c r="Y116" s="563"/>
      <c r="Z116" s="563"/>
      <c r="AA116" s="564"/>
      <c r="AB116" s="565"/>
      <c r="AC116" s="2578"/>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697"/>
      <c r="E117" s="2579" t="s">
        <v>574</v>
      </c>
      <c r="F117" s="2580"/>
      <c r="G117" s="2581"/>
      <c r="H117" s="2575" t="str">
        <f>IF(A115="","",INDEX(DIFFERENTIATION_UNMERGE_SYSTEM,MATCH(A115,DIFFERENTIATION_ID_DIFF,0)))</f>
        <v/>
      </c>
      <c r="I117" s="2575"/>
      <c r="J117" s="2575"/>
      <c r="K117" s="2575"/>
      <c r="L117" s="2575"/>
      <c r="M117" s="2575"/>
      <c r="N117" s="2575"/>
      <c r="O117" s="2575"/>
      <c r="P117" s="2575"/>
      <c r="Q117" s="2575"/>
      <c r="R117" s="2575"/>
      <c r="S117" s="656"/>
      <c r="T117" s="653"/>
      <c r="U117" s="562"/>
      <c r="V117" s="562"/>
      <c r="W117" s="563"/>
      <c r="X117" s="563"/>
      <c r="Y117" s="563"/>
      <c r="Z117" s="563"/>
      <c r="AA117" s="564"/>
      <c r="AB117" s="565"/>
      <c r="AC117" s="2578"/>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697"/>
      <c r="E118" s="2577" t="s">
        <v>619</v>
      </c>
      <c r="F118" s="2577"/>
      <c r="G118" s="2577"/>
      <c r="H118" s="2577"/>
      <c r="I118" s="2577"/>
      <c r="J118" s="2577"/>
      <c r="K118" s="2577"/>
      <c r="L118" s="2577"/>
      <c r="M118" s="2577"/>
      <c r="N118" s="2577"/>
      <c r="O118" s="2577"/>
      <c r="P118" s="2577"/>
      <c r="Q118" s="495">
        <f>SUMIF(T119:T120,"i",Q119:Q120)</f>
        <v>0</v>
      </c>
      <c r="R118" s="947"/>
      <c r="S118" s="1724" t="s">
        <v>620</v>
      </c>
      <c r="T118" s="654" t="s">
        <v>621</v>
      </c>
      <c r="U118" s="2472">
        <v>1</v>
      </c>
      <c r="V118" s="2472" t="s">
        <v>584</v>
      </c>
      <c r="W118" s="1087"/>
      <c r="X118" s="1087"/>
      <c r="Y118" s="1087"/>
      <c r="Z118" s="1087"/>
      <c r="AA118" s="1563"/>
      <c r="AB118" s="1087"/>
      <c r="AC118" s="2578"/>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697"/>
      <c r="E119" s="572"/>
      <c r="F119" s="572">
        <v>0</v>
      </c>
      <c r="G119" s="572"/>
      <c r="H119" s="572"/>
      <c r="I119" s="572"/>
      <c r="J119" s="572"/>
      <c r="K119" s="572"/>
      <c r="L119" s="572"/>
      <c r="M119" s="572"/>
      <c r="N119" s="572"/>
      <c r="O119" s="572"/>
      <c r="P119" s="572"/>
      <c r="Q119" s="572"/>
      <c r="R119" s="572"/>
      <c r="S119" s="573"/>
      <c r="T119" s="655"/>
      <c r="U119" s="2472"/>
      <c r="V119" s="2472"/>
      <c r="W119" s="1563"/>
      <c r="X119" s="1563"/>
      <c r="Y119" s="1563"/>
      <c r="Z119" s="1563"/>
      <c r="AA119" s="1563"/>
      <c r="AB119" s="1087"/>
      <c r="AC119" s="2578"/>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697"/>
      <c r="E120" s="586" t="s">
        <v>28</v>
      </c>
      <c r="F120" s="1095" t="s">
        <v>28</v>
      </c>
      <c r="G120" s="1095" t="s">
        <v>1943</v>
      </c>
      <c r="H120" s="588" t="s">
        <v>28</v>
      </c>
      <c r="I120" s="588"/>
      <c r="J120" s="588"/>
      <c r="K120" s="588"/>
      <c r="L120" s="588"/>
      <c r="M120" s="588"/>
      <c r="N120" s="588"/>
      <c r="O120" s="588"/>
      <c r="P120" s="588"/>
      <c r="Q120" s="588"/>
      <c r="R120" s="589"/>
      <c r="S120" s="590"/>
      <c r="T120" s="655"/>
      <c r="U120" s="2472"/>
      <c r="V120" s="2472"/>
      <c r="W120" s="1087"/>
      <c r="X120" s="1087"/>
      <c r="Y120" s="1087"/>
      <c r="Z120" s="1087"/>
      <c r="AA120" s="1563"/>
      <c r="AB120" s="1087"/>
      <c r="AC120" s="2578"/>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697"/>
      <c r="E121" s="2577" t="s">
        <v>622</v>
      </c>
      <c r="F121" s="2577"/>
      <c r="G121" s="2577"/>
      <c r="H121" s="2577"/>
      <c r="I121" s="2577"/>
      <c r="J121" s="2577"/>
      <c r="K121" s="2577"/>
      <c r="L121" s="2577"/>
      <c r="M121" s="2577"/>
      <c r="N121" s="2577"/>
      <c r="O121" s="2577"/>
      <c r="P121" s="2577"/>
      <c r="Q121" s="495">
        <f>SUMIF(T122:T123,"i",Q122:Q123)</f>
        <v>0</v>
      </c>
      <c r="R121" s="947"/>
      <c r="S121" s="1724" t="s">
        <v>623</v>
      </c>
      <c r="T121" s="654" t="s">
        <v>621</v>
      </c>
      <c r="U121" s="2472">
        <v>1</v>
      </c>
      <c r="V121" s="2472" t="s">
        <v>584</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697"/>
      <c r="E122" s="572"/>
      <c r="F122" s="572">
        <v>0</v>
      </c>
      <c r="G122" s="572"/>
      <c r="H122" s="572"/>
      <c r="I122" s="572"/>
      <c r="J122" s="572"/>
      <c r="K122" s="572"/>
      <c r="L122" s="572"/>
      <c r="M122" s="572"/>
      <c r="N122" s="572"/>
      <c r="O122" s="572"/>
      <c r="P122" s="572"/>
      <c r="Q122" s="572"/>
      <c r="R122" s="572"/>
      <c r="S122" s="573"/>
      <c r="T122" s="655"/>
      <c r="U122" s="2472"/>
      <c r="V122" s="2472"/>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698"/>
      <c r="E123" s="586" t="s">
        <v>28</v>
      </c>
      <c r="F123" s="1095" t="s">
        <v>28</v>
      </c>
      <c r="G123" s="1095" t="s">
        <v>1943</v>
      </c>
      <c r="H123" s="588" t="s">
        <v>28</v>
      </c>
      <c r="I123" s="588"/>
      <c r="J123" s="588"/>
      <c r="K123" s="588"/>
      <c r="L123" s="588"/>
      <c r="M123" s="588"/>
      <c r="N123" s="588"/>
      <c r="O123" s="588"/>
      <c r="P123" s="588"/>
      <c r="Q123" s="588"/>
      <c r="R123" s="589"/>
      <c r="S123" s="590"/>
      <c r="T123" s="655"/>
      <c r="U123" s="2472"/>
      <c r="V123" s="2472"/>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1944</v>
      </c>
    </row>
    <row r="127" spans="1:83" s="1775" customFormat="1" ht="15" customHeight="1">
      <c r="A127" s="560"/>
      <c r="B127" s="561"/>
      <c r="C127" s="561"/>
      <c r="D127" s="2696" t="s">
        <v>110</v>
      </c>
      <c r="E127" s="2579" t="s">
        <v>106</v>
      </c>
      <c r="F127" s="2580"/>
      <c r="G127" s="2581"/>
      <c r="H127" s="2575" t="str">
        <f>IF(A127="","",INDEX(DIFFERENTIATION_UNMERGE_VD,MATCH(A127,DIFFERENTIATION_ID_DIFF,0)))</f>
        <v/>
      </c>
      <c r="I127" s="2575"/>
      <c r="J127" s="2575"/>
      <c r="K127" s="2575"/>
      <c r="L127" s="2575"/>
      <c r="M127" s="2575"/>
      <c r="N127" s="2575"/>
      <c r="O127" s="2575"/>
      <c r="P127" s="2575"/>
      <c r="Q127" s="2575"/>
      <c r="R127" s="2575"/>
      <c r="S127" s="656"/>
      <c r="T127" s="653"/>
      <c r="U127" s="562"/>
      <c r="V127" s="562"/>
      <c r="W127" s="563"/>
      <c r="X127" s="563"/>
      <c r="Y127" s="563"/>
      <c r="Z127" s="563"/>
      <c r="AA127" s="564"/>
      <c r="AB127" s="565"/>
      <c r="AC127" s="2578"/>
      <c r="AD127" s="566"/>
      <c r="AE127" s="567" t="s">
        <v>28</v>
      </c>
      <c r="AF127" s="567"/>
      <c r="AG127" s="568" t="s">
        <v>618</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697"/>
      <c r="E128" s="2579" t="s">
        <v>573</v>
      </c>
      <c r="F128" s="2580"/>
      <c r="G128" s="2581"/>
      <c r="H128" s="2575" t="str">
        <f>IF(A127="","",INDEX(DIFFERENTIATION_UNMERGE_AREA,MATCH(A127,DIFFERENTIATION_ID_DIFF,0)))</f>
        <v/>
      </c>
      <c r="I128" s="2575"/>
      <c r="J128" s="2575"/>
      <c r="K128" s="2575"/>
      <c r="L128" s="2575"/>
      <c r="M128" s="2575"/>
      <c r="N128" s="2575"/>
      <c r="O128" s="2575"/>
      <c r="P128" s="2575"/>
      <c r="Q128" s="2575"/>
      <c r="R128" s="2575"/>
      <c r="S128" s="656"/>
      <c r="T128" s="653"/>
      <c r="U128" s="562"/>
      <c r="V128" s="562"/>
      <c r="W128" s="563"/>
      <c r="X128" s="563"/>
      <c r="Y128" s="563"/>
      <c r="Z128" s="563"/>
      <c r="AA128" s="564"/>
      <c r="AB128" s="565"/>
      <c r="AC128" s="2578"/>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697"/>
      <c r="E129" s="2579" t="s">
        <v>574</v>
      </c>
      <c r="F129" s="2580"/>
      <c r="G129" s="2581"/>
      <c r="H129" s="2575" t="str">
        <f>IF(A127="","",INDEX(DIFFERENTIATION_UNMERGE_SYSTEM,MATCH(A127,DIFFERENTIATION_ID_DIFF,0)))</f>
        <v/>
      </c>
      <c r="I129" s="2575"/>
      <c r="J129" s="2575"/>
      <c r="K129" s="2575"/>
      <c r="L129" s="2575"/>
      <c r="M129" s="2575"/>
      <c r="N129" s="2575"/>
      <c r="O129" s="2575"/>
      <c r="P129" s="2575"/>
      <c r="Q129" s="2575"/>
      <c r="R129" s="2575"/>
      <c r="S129" s="656"/>
      <c r="T129" s="653"/>
      <c r="U129" s="562"/>
      <c r="V129" s="562"/>
      <c r="W129" s="563"/>
      <c r="X129" s="563"/>
      <c r="Y129" s="563"/>
      <c r="Z129" s="563"/>
      <c r="AA129" s="564"/>
      <c r="AB129" s="565"/>
      <c r="AC129" s="2578"/>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697"/>
      <c r="E130" s="2577" t="s">
        <v>619</v>
      </c>
      <c r="F130" s="2577"/>
      <c r="G130" s="2577"/>
      <c r="H130" s="2577"/>
      <c r="I130" s="2577"/>
      <c r="J130" s="2577"/>
      <c r="K130" s="2577"/>
      <c r="L130" s="2577"/>
      <c r="M130" s="2577"/>
      <c r="N130" s="2577"/>
      <c r="O130" s="2577"/>
      <c r="P130" s="2577"/>
      <c r="Q130" s="495">
        <f>SUMIF(T131:T132,"i",Q131:Q132)</f>
        <v>0</v>
      </c>
      <c r="R130" s="947"/>
      <c r="S130" s="1724" t="s">
        <v>620</v>
      </c>
      <c r="T130" s="654" t="s">
        <v>621</v>
      </c>
      <c r="U130" s="2472">
        <v>1</v>
      </c>
      <c r="V130" s="2472" t="s">
        <v>584</v>
      </c>
      <c r="W130" s="1087"/>
      <c r="X130" s="1087"/>
      <c r="Y130" s="1087"/>
      <c r="Z130" s="1087"/>
      <c r="AA130" s="1563"/>
      <c r="AB130" s="1087"/>
      <c r="AC130" s="2578"/>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697"/>
      <c r="E131" s="572"/>
      <c r="F131" s="572">
        <v>0</v>
      </c>
      <c r="G131" s="572"/>
      <c r="H131" s="572"/>
      <c r="I131" s="572"/>
      <c r="J131" s="572"/>
      <c r="K131" s="572"/>
      <c r="L131" s="572"/>
      <c r="M131" s="572"/>
      <c r="N131" s="572"/>
      <c r="O131" s="572"/>
      <c r="P131" s="572"/>
      <c r="Q131" s="572"/>
      <c r="R131" s="572"/>
      <c r="S131" s="573"/>
      <c r="T131" s="655"/>
      <c r="U131" s="2472"/>
      <c r="V131" s="2472"/>
      <c r="W131" s="1563"/>
      <c r="X131" s="1563"/>
      <c r="Y131" s="1563"/>
      <c r="Z131" s="1563"/>
      <c r="AA131" s="1563"/>
      <c r="AB131" s="1087"/>
      <c r="AC131" s="2578"/>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697"/>
      <c r="E132" s="586" t="s">
        <v>28</v>
      </c>
      <c r="F132" s="1095" t="s">
        <v>28</v>
      </c>
      <c r="G132" s="1095" t="s">
        <v>1943</v>
      </c>
      <c r="H132" s="588" t="s">
        <v>28</v>
      </c>
      <c r="I132" s="588"/>
      <c r="J132" s="588"/>
      <c r="K132" s="588"/>
      <c r="L132" s="588"/>
      <c r="M132" s="588"/>
      <c r="N132" s="588"/>
      <c r="O132" s="588"/>
      <c r="P132" s="588"/>
      <c r="Q132" s="588"/>
      <c r="R132" s="589"/>
      <c r="S132" s="590"/>
      <c r="T132" s="655"/>
      <c r="U132" s="2472"/>
      <c r="V132" s="2472"/>
      <c r="W132" s="1087"/>
      <c r="X132" s="1087"/>
      <c r="Y132" s="1087"/>
      <c r="Z132" s="1087"/>
      <c r="AA132" s="1563"/>
      <c r="AB132" s="1087"/>
      <c r="AC132" s="2578"/>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697"/>
      <c r="E133" s="969"/>
      <c r="F133" s="969"/>
      <c r="G133" s="969"/>
      <c r="H133" s="969"/>
      <c r="I133" s="969"/>
      <c r="J133" s="969"/>
      <c r="K133" s="969"/>
      <c r="L133" s="969"/>
      <c r="M133" s="969"/>
      <c r="N133" s="969"/>
      <c r="O133" s="969"/>
      <c r="P133" s="969"/>
      <c r="Q133" s="970"/>
      <c r="R133" s="971"/>
      <c r="S133" s="972"/>
      <c r="T133" s="654" t="s">
        <v>621</v>
      </c>
      <c r="U133" s="2472">
        <v>1</v>
      </c>
      <c r="V133" s="2472" t="s">
        <v>584</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697"/>
      <c r="E134" s="572"/>
      <c r="F134" s="572"/>
      <c r="G134" s="572"/>
      <c r="H134" s="572"/>
      <c r="I134" s="572"/>
      <c r="J134" s="572"/>
      <c r="K134" s="572"/>
      <c r="L134" s="572"/>
      <c r="M134" s="572"/>
      <c r="N134" s="572"/>
      <c r="O134" s="572"/>
      <c r="P134" s="572"/>
      <c r="Q134" s="572"/>
      <c r="R134" s="572"/>
      <c r="S134" s="573"/>
      <c r="T134" s="655"/>
      <c r="U134" s="2472"/>
      <c r="V134" s="2472"/>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698"/>
      <c r="E135" s="973"/>
      <c r="F135" s="974"/>
      <c r="G135" s="974"/>
      <c r="H135" s="975"/>
      <c r="I135" s="975"/>
      <c r="J135" s="975"/>
      <c r="K135" s="975"/>
      <c r="L135" s="975"/>
      <c r="M135" s="975"/>
      <c r="N135" s="975"/>
      <c r="O135" s="975"/>
      <c r="P135" s="975"/>
      <c r="Q135" s="975"/>
      <c r="R135" s="876"/>
      <c r="S135" s="976"/>
      <c r="T135" s="655"/>
      <c r="U135" s="2472"/>
      <c r="V135" s="2472"/>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1945</v>
      </c>
    </row>
    <row r="139" spans="1:83" s="1775" customFormat="1" ht="45" customHeight="1">
      <c r="A139" s="1732"/>
      <c r="B139" s="1087"/>
      <c r="C139" s="349"/>
      <c r="D139" s="29"/>
      <c r="E139" s="2701"/>
      <c r="F139" s="2343" t="s">
        <v>110</v>
      </c>
      <c r="G139" s="2704" t="s">
        <v>28</v>
      </c>
      <c r="H139" s="227"/>
      <c r="I139" s="574" t="s">
        <v>110</v>
      </c>
      <c r="J139" s="1733" t="s">
        <v>1946</v>
      </c>
      <c r="K139" s="575" t="s">
        <v>555</v>
      </c>
      <c r="L139" s="2435" t="s">
        <v>555</v>
      </c>
      <c r="M139" s="2391"/>
      <c r="N139" s="575" t="s">
        <v>555</v>
      </c>
      <c r="O139" s="575" t="s">
        <v>555</v>
      </c>
      <c r="P139" s="575" t="s">
        <v>555</v>
      </c>
      <c r="Q139" s="576">
        <f>SUM(Q140:Q142)</f>
        <v>0</v>
      </c>
      <c r="R139" s="576">
        <f>IF(R136=0,0,(Q136/R136)*100)</f>
        <v>0</v>
      </c>
      <c r="S139" s="2411"/>
      <c r="T139" s="654" t="s">
        <v>621</v>
      </c>
      <c r="U139" s="29"/>
      <c r="V139" s="29"/>
      <c r="AC139" s="29"/>
    </row>
    <row r="140" spans="1:83" s="1775" customFormat="1" ht="11.25" customHeight="1">
      <c r="A140" s="1732"/>
      <c r="B140" s="1087"/>
      <c r="C140" s="349"/>
      <c r="D140" s="29"/>
      <c r="E140" s="2702"/>
      <c r="F140" s="2343"/>
      <c r="G140" s="2704"/>
      <c r="H140" s="2332"/>
      <c r="I140" s="2634" t="s">
        <v>1030</v>
      </c>
      <c r="J140" s="2699"/>
      <c r="K140" s="2700"/>
      <c r="L140" s="577"/>
      <c r="M140" s="578" t="s">
        <v>110</v>
      </c>
      <c r="N140" s="1721"/>
      <c r="O140" s="579"/>
      <c r="P140" s="580"/>
      <c r="Q140" s="579"/>
      <c r="R140" s="581">
        <v>0</v>
      </c>
      <c r="S140" s="2411"/>
      <c r="T140" s="654"/>
      <c r="U140" s="29"/>
      <c r="V140" s="29"/>
      <c r="AC140" s="29"/>
    </row>
    <row r="141" spans="1:83" s="1775" customFormat="1" ht="11.25" customHeight="1">
      <c r="A141" s="1732"/>
      <c r="B141" s="1087"/>
      <c r="C141" s="349"/>
      <c r="D141" s="29"/>
      <c r="E141" s="2702"/>
      <c r="F141" s="2343"/>
      <c r="G141" s="2704"/>
      <c r="H141" s="2332"/>
      <c r="I141" s="2634"/>
      <c r="J141" s="2699"/>
      <c r="K141" s="2695"/>
      <c r="L141" s="582"/>
      <c r="M141" s="583"/>
      <c r="N141" s="584" t="s">
        <v>1947</v>
      </c>
      <c r="O141" s="584"/>
      <c r="P141" s="584"/>
      <c r="Q141" s="584"/>
      <c r="R141" s="585"/>
      <c r="S141" s="2411"/>
      <c r="T141" s="654"/>
      <c r="U141" s="29"/>
      <c r="V141" s="29"/>
      <c r="AC141" s="29"/>
    </row>
    <row r="142" spans="1:83" s="1775" customFormat="1" ht="11.25" customHeight="1">
      <c r="A142" s="1732"/>
      <c r="B142" s="1087"/>
      <c r="C142" s="349"/>
      <c r="D142" s="29"/>
      <c r="E142" s="2703"/>
      <c r="F142" s="2343"/>
      <c r="G142" s="2705"/>
      <c r="H142" s="582" t="s">
        <v>28</v>
      </c>
      <c r="I142" s="583"/>
      <c r="J142" s="584" t="s">
        <v>1948</v>
      </c>
      <c r="K142" s="584"/>
      <c r="L142" s="584"/>
      <c r="M142" s="584"/>
      <c r="N142" s="584"/>
      <c r="O142" s="584"/>
      <c r="P142" s="584"/>
      <c r="Q142" s="584"/>
      <c r="R142" s="585"/>
      <c r="S142" s="2411"/>
      <c r="T142" s="654"/>
      <c r="U142" s="29"/>
      <c r="V142" s="29"/>
      <c r="AC142" s="29"/>
    </row>
    <row r="147" spans="1:43" s="1775" customFormat="1" ht="11.25" customHeight="1">
      <c r="A147" s="1732"/>
      <c r="B147" s="1087"/>
      <c r="C147" s="349"/>
      <c r="D147" s="29"/>
      <c r="E147" s="1755"/>
      <c r="F147" s="1755"/>
      <c r="G147" s="1755"/>
      <c r="H147" s="2332"/>
      <c r="I147" s="2634" t="s">
        <v>1030</v>
      </c>
      <c r="J147" s="2699"/>
      <c r="K147" s="2700"/>
      <c r="L147" s="577"/>
      <c r="M147" s="578" t="s">
        <v>110</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332"/>
      <c r="I148" s="2634"/>
      <c r="J148" s="2699"/>
      <c r="K148" s="2695"/>
      <c r="L148" s="582"/>
      <c r="M148" s="583"/>
      <c r="N148" s="584" t="s">
        <v>1947</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110</v>
      </c>
      <c r="N150" s="1721"/>
      <c r="O150" s="579"/>
      <c r="P150" s="580"/>
      <c r="Q150" s="579"/>
      <c r="R150" s="581">
        <v>0</v>
      </c>
      <c r="S150" s="29"/>
      <c r="T150" s="654"/>
      <c r="U150" s="29"/>
      <c r="V150" s="29"/>
      <c r="AC150" s="29"/>
    </row>
    <row r="152" spans="1:43" s="1741" customFormat="1" ht="17.25" customHeight="1">
      <c r="A152" s="1741" t="s">
        <v>1949</v>
      </c>
    </row>
    <row r="153" spans="1:43" ht="17.25" customHeight="1">
      <c r="G153" s="1764"/>
      <c r="H153" s="1764"/>
      <c r="I153" s="1764"/>
      <c r="M153" s="1760"/>
    </row>
    <row r="154" spans="1:43" s="1778" customFormat="1" ht="17.25" customHeight="1">
      <c r="A154" s="1765"/>
      <c r="C154" s="1767"/>
      <c r="D154" s="2399"/>
      <c r="E154" s="2354"/>
      <c r="F154" s="2367"/>
      <c r="G154" s="2373"/>
      <c r="H154" s="2399"/>
      <c r="I154" s="2399">
        <v>1</v>
      </c>
      <c r="J154" s="2397"/>
      <c r="K154" s="2392" t="s">
        <v>67</v>
      </c>
      <c r="L154" s="2343"/>
      <c r="M154" s="2343" t="s">
        <v>110</v>
      </c>
      <c r="N154" s="2395" t="str">
        <f>IF(Z154="","",INDEX(TERRITORY_MR_LIST,MATCH(Z154,TERRITORY_LIST_ID,0)))</f>
        <v/>
      </c>
      <c r="O154" s="2392" t="s">
        <v>67</v>
      </c>
      <c r="P154" s="2343"/>
      <c r="Q154" s="2343" t="s">
        <v>110</v>
      </c>
      <c r="R154" s="2695" t="s">
        <v>28</v>
      </c>
      <c r="S154" s="2342" t="s">
        <v>67</v>
      </c>
      <c r="T154" s="1737"/>
      <c r="U154" s="1737" t="s">
        <v>110</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399"/>
      <c r="E155" s="2354"/>
      <c r="F155" s="2368"/>
      <c r="G155" s="2373"/>
      <c r="H155" s="2399"/>
      <c r="I155" s="2399"/>
      <c r="J155" s="2397"/>
      <c r="K155" s="2393"/>
      <c r="L155" s="2343"/>
      <c r="M155" s="2343"/>
      <c r="N155" s="2395"/>
      <c r="O155" s="2393"/>
      <c r="P155" s="2343"/>
      <c r="Q155" s="2343"/>
      <c r="R155" s="2695"/>
      <c r="S155" s="2342"/>
      <c r="T155" s="255"/>
      <c r="U155" s="256"/>
      <c r="V155" s="256" t="s">
        <v>169</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366"/>
      <c r="E156" s="2355"/>
      <c r="F156" s="2368"/>
      <c r="G156" s="2374"/>
      <c r="H156" s="2366"/>
      <c r="I156" s="2366"/>
      <c r="J156" s="2398"/>
      <c r="K156" s="2393"/>
      <c r="L156" s="2366"/>
      <c r="M156" s="2366"/>
      <c r="N156" s="2396"/>
      <c r="O156" s="2347"/>
      <c r="P156" s="255"/>
      <c r="Q156" s="256"/>
      <c r="R156" s="256" t="s">
        <v>170</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366"/>
      <c r="E157" s="2355"/>
      <c r="F157" s="2368"/>
      <c r="G157" s="2374"/>
      <c r="H157" s="2366"/>
      <c r="I157" s="2366"/>
      <c r="J157" s="2398"/>
      <c r="K157" s="2347"/>
      <c r="L157" s="255"/>
      <c r="M157" s="256"/>
      <c r="N157" s="256" t="s">
        <v>171</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366"/>
      <c r="E158" s="2355"/>
      <c r="F158" s="2369"/>
      <c r="G158" s="2374"/>
      <c r="H158" s="255"/>
      <c r="I158" s="256"/>
      <c r="J158" s="256" t="s">
        <v>172</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399"/>
      <c r="I160" s="2399">
        <v>1</v>
      </c>
      <c r="J160" s="2397"/>
      <c r="K160" s="2392" t="s">
        <v>67</v>
      </c>
      <c r="L160" s="2343"/>
      <c r="M160" s="2343" t="s">
        <v>110</v>
      </c>
      <c r="N160" s="2395" t="str">
        <f>IF(Z160="","",INDEX(TERRITORY_MR_LIST,MATCH(Z160,TERRITORY_LIST_ID,0)))</f>
        <v/>
      </c>
      <c r="O160" s="2392" t="s">
        <v>67</v>
      </c>
      <c r="P160" s="2343"/>
      <c r="Q160" s="2343" t="s">
        <v>110</v>
      </c>
      <c r="R160" s="2695" t="s">
        <v>28</v>
      </c>
      <c r="S160" s="2342" t="s">
        <v>67</v>
      </c>
      <c r="T160" s="1737"/>
      <c r="U160" s="1737" t="s">
        <v>110</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399"/>
      <c r="I161" s="2399"/>
      <c r="J161" s="2397"/>
      <c r="K161" s="2393"/>
      <c r="L161" s="2343"/>
      <c r="M161" s="2343"/>
      <c r="N161" s="2395"/>
      <c r="O161" s="2393"/>
      <c r="P161" s="2343"/>
      <c r="Q161" s="2343"/>
      <c r="R161" s="2695"/>
      <c r="S161" s="2342"/>
      <c r="T161" s="255"/>
      <c r="U161" s="256"/>
      <c r="V161" s="256" t="s">
        <v>169</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366"/>
      <c r="I162" s="2366"/>
      <c r="J162" s="2398"/>
      <c r="K162" s="2393"/>
      <c r="L162" s="2366"/>
      <c r="M162" s="2366"/>
      <c r="N162" s="2396"/>
      <c r="O162" s="2347"/>
      <c r="P162" s="255"/>
      <c r="Q162" s="256"/>
      <c r="R162" s="256" t="s">
        <v>170</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366"/>
      <c r="I163" s="2366"/>
      <c r="J163" s="2398"/>
      <c r="K163" s="2347"/>
      <c r="L163" s="255"/>
      <c r="M163" s="256"/>
      <c r="N163" s="256" t="s">
        <v>171</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343"/>
      <c r="M165" s="2343" t="s">
        <v>110</v>
      </c>
      <c r="N165" s="2395" t="str">
        <f>IF(Z165="","",INDEX(TERRITORY_MR_LIST,MATCH(Z165,TERRITORY_LIST_ID,0)))</f>
        <v/>
      </c>
      <c r="O165" s="2392" t="s">
        <v>67</v>
      </c>
      <c r="P165" s="2343"/>
      <c r="Q165" s="2343" t="s">
        <v>110</v>
      </c>
      <c r="R165" s="2695" t="s">
        <v>28</v>
      </c>
      <c r="S165" s="2342" t="s">
        <v>67</v>
      </c>
      <c r="T165" s="1737"/>
      <c r="U165" s="1737" t="s">
        <v>110</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343"/>
      <c r="M166" s="2343"/>
      <c r="N166" s="2395"/>
      <c r="O166" s="2393"/>
      <c r="P166" s="2343"/>
      <c r="Q166" s="2343"/>
      <c r="R166" s="2695"/>
      <c r="S166" s="2342"/>
      <c r="T166" s="255"/>
      <c r="U166" s="256"/>
      <c r="V166" s="256" t="s">
        <v>169</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366"/>
      <c r="M167" s="2366"/>
      <c r="N167" s="2396"/>
      <c r="O167" s="2347"/>
      <c r="P167" s="255"/>
      <c r="Q167" s="256"/>
      <c r="R167" s="256" t="s">
        <v>170</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343"/>
      <c r="Q169" s="2343" t="s">
        <v>110</v>
      </c>
      <c r="R169" s="2695" t="s">
        <v>28</v>
      </c>
      <c r="S169" s="2342" t="s">
        <v>67</v>
      </c>
      <c r="T169" s="1737"/>
      <c r="U169" s="1737" t="s">
        <v>110</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343"/>
      <c r="Q170" s="2343"/>
      <c r="R170" s="2695"/>
      <c r="S170" s="2342"/>
      <c r="T170" s="255"/>
      <c r="U170" s="256"/>
      <c r="V170" s="256" t="s">
        <v>169</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110</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1950</v>
      </c>
    </row>
    <row r="175" spans="1:43" ht="17.25" customHeight="1">
      <c r="G175" s="1764"/>
      <c r="H175" s="1764"/>
      <c r="I175" s="1764"/>
      <c r="M175" s="1760"/>
    </row>
    <row r="176" spans="1:43" s="1778" customFormat="1" ht="17.25" customHeight="1">
      <c r="A176" s="1765"/>
      <c r="C176" s="1767"/>
      <c r="D176" s="2399"/>
      <c r="E176" s="2354"/>
      <c r="F176" s="2367"/>
      <c r="G176" s="2373"/>
      <c r="H176" s="2399"/>
      <c r="I176" s="2399">
        <v>1</v>
      </c>
      <c r="J176" s="2397"/>
      <c r="K176" s="2392" t="s">
        <v>67</v>
      </c>
      <c r="L176" s="2343"/>
      <c r="M176" s="2343" t="s">
        <v>110</v>
      </c>
      <c r="N176" s="2395" t="str">
        <f>IF(Z176="","",INDEX(TERRITORY_MR_LIST,MATCH(Z176,TERRITORY_LIST_ID,0)))</f>
        <v/>
      </c>
      <c r="O176" s="2392" t="s">
        <v>67</v>
      </c>
      <c r="P176" s="2343"/>
      <c r="Q176" s="2343" t="s">
        <v>110</v>
      </c>
      <c r="R176" s="2695" t="s">
        <v>28</v>
      </c>
      <c r="S176" s="2597" t="s">
        <v>19</v>
      </c>
      <c r="T176" s="1728"/>
      <c r="U176" s="1728" t="s">
        <v>110</v>
      </c>
      <c r="V176" s="1361"/>
      <c r="W176" s="2397"/>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399"/>
      <c r="E177" s="2354"/>
      <c r="F177" s="2368"/>
      <c r="G177" s="2373"/>
      <c r="H177" s="2399"/>
      <c r="I177" s="2399"/>
      <c r="J177" s="2397"/>
      <c r="K177" s="2393"/>
      <c r="L177" s="2343"/>
      <c r="M177" s="2343"/>
      <c r="N177" s="2395"/>
      <c r="O177" s="2393"/>
      <c r="P177" s="2343"/>
      <c r="Q177" s="2343"/>
      <c r="R177" s="2695"/>
      <c r="S177" s="2597"/>
      <c r="T177" s="1362"/>
      <c r="U177" s="1363"/>
      <c r="V177" s="1363"/>
      <c r="W177" s="2397"/>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366"/>
      <c r="E178" s="2355"/>
      <c r="F178" s="2368"/>
      <c r="G178" s="2374"/>
      <c r="H178" s="2366"/>
      <c r="I178" s="2366"/>
      <c r="J178" s="2398"/>
      <c r="K178" s="2393"/>
      <c r="L178" s="2366"/>
      <c r="M178" s="2366"/>
      <c r="N178" s="2396"/>
      <c r="O178" s="2347"/>
      <c r="P178" s="255"/>
      <c r="Q178" s="256"/>
      <c r="R178" s="256" t="s">
        <v>170</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366"/>
      <c r="E179" s="2355"/>
      <c r="F179" s="2368"/>
      <c r="G179" s="2374"/>
      <c r="H179" s="2366"/>
      <c r="I179" s="2366"/>
      <c r="J179" s="2398"/>
      <c r="K179" s="2347"/>
      <c r="L179" s="255"/>
      <c r="M179" s="256"/>
      <c r="N179" s="256" t="s">
        <v>171</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366"/>
      <c r="E180" s="2355"/>
      <c r="F180" s="2369"/>
      <c r="G180" s="2374"/>
      <c r="H180" s="255"/>
      <c r="I180" s="256"/>
      <c r="J180" s="256" t="s">
        <v>172</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399"/>
      <c r="I182" s="2399">
        <v>1</v>
      </c>
      <c r="J182" s="2397"/>
      <c r="K182" s="2392" t="s">
        <v>67</v>
      </c>
      <c r="L182" s="2343"/>
      <c r="M182" s="2343" t="s">
        <v>110</v>
      </c>
      <c r="N182" s="2395" t="str">
        <f>IF(Z182="","",INDEX(TERRITORY_MR_LIST,MATCH(Z182,TERRITORY_LIST_ID,0)))</f>
        <v/>
      </c>
      <c r="O182" s="2392" t="s">
        <v>67</v>
      </c>
      <c r="P182" s="2343"/>
      <c r="Q182" s="2343" t="s">
        <v>110</v>
      </c>
      <c r="R182" s="2695" t="s">
        <v>28</v>
      </c>
      <c r="S182" s="2597" t="s">
        <v>19</v>
      </c>
      <c r="T182" s="1728"/>
      <c r="U182" s="1728" t="s">
        <v>110</v>
      </c>
      <c r="V182" s="1361"/>
      <c r="W182" s="2397"/>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399"/>
      <c r="I183" s="2399"/>
      <c r="J183" s="2397"/>
      <c r="K183" s="2393"/>
      <c r="L183" s="2343"/>
      <c r="M183" s="2343"/>
      <c r="N183" s="2395"/>
      <c r="O183" s="2393"/>
      <c r="P183" s="2343"/>
      <c r="Q183" s="2343"/>
      <c r="R183" s="2695"/>
      <c r="S183" s="2597"/>
      <c r="T183" s="1362"/>
      <c r="U183" s="1363"/>
      <c r="V183" s="1363"/>
      <c r="W183" s="2397"/>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366"/>
      <c r="I184" s="2366"/>
      <c r="J184" s="2398"/>
      <c r="K184" s="2393"/>
      <c r="L184" s="2366"/>
      <c r="M184" s="2366"/>
      <c r="N184" s="2396"/>
      <c r="O184" s="2347"/>
      <c r="P184" s="255"/>
      <c r="Q184" s="256"/>
      <c r="R184" s="256" t="s">
        <v>170</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366"/>
      <c r="I185" s="2366"/>
      <c r="J185" s="2398"/>
      <c r="K185" s="2347"/>
      <c r="L185" s="255"/>
      <c r="M185" s="256"/>
      <c r="N185" s="256" t="s">
        <v>171</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343"/>
      <c r="M187" s="2343" t="s">
        <v>110</v>
      </c>
      <c r="N187" s="2395" t="str">
        <f>IF(Z187="","",INDEX(TERRITORY_MR_LIST,MATCH(Z187,TERRITORY_LIST_ID,0)))</f>
        <v/>
      </c>
      <c r="O187" s="2392" t="s">
        <v>67</v>
      </c>
      <c r="P187" s="2343"/>
      <c r="Q187" s="2343" t="s">
        <v>110</v>
      </c>
      <c r="R187" s="2695" t="s">
        <v>28</v>
      </c>
      <c r="S187" s="2597" t="s">
        <v>19</v>
      </c>
      <c r="T187" s="1728"/>
      <c r="U187" s="1728" t="s">
        <v>110</v>
      </c>
      <c r="V187" s="1361"/>
      <c r="W187" s="2397"/>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343"/>
      <c r="M188" s="2343"/>
      <c r="N188" s="2395"/>
      <c r="O188" s="2393"/>
      <c r="P188" s="2343"/>
      <c r="Q188" s="2343"/>
      <c r="R188" s="2695"/>
      <c r="S188" s="2597"/>
      <c r="T188" s="1362"/>
      <c r="U188" s="1363"/>
      <c r="V188" s="1363"/>
      <c r="W188" s="2397"/>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366"/>
      <c r="M189" s="2366"/>
      <c r="N189" s="2396"/>
      <c r="O189" s="2347"/>
      <c r="P189" s="255"/>
      <c r="Q189" s="256"/>
      <c r="R189" s="256" t="s">
        <v>170</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343"/>
      <c r="Q191" s="2343" t="s">
        <v>110</v>
      </c>
      <c r="R191" s="2695" t="s">
        <v>28</v>
      </c>
      <c r="S191" s="2597" t="s">
        <v>19</v>
      </c>
      <c r="T191" s="1728"/>
      <c r="U191" s="1728" t="s">
        <v>110</v>
      </c>
      <c r="V191" s="1361"/>
      <c r="W191" s="2397"/>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343"/>
      <c r="Q192" s="2343"/>
      <c r="R192" s="2695"/>
      <c r="S192" s="2597"/>
      <c r="T192" s="1362"/>
      <c r="U192" s="1363"/>
      <c r="V192" s="1363"/>
      <c r="W192" s="2397"/>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399"/>
      <c r="E194" s="2411"/>
      <c r="F194" s="2411"/>
      <c r="G194" s="2332"/>
      <c r="H194" s="2356"/>
      <c r="I194" s="2358"/>
      <c r="J194" s="2360"/>
      <c r="K194" s="2352"/>
      <c r="L194" s="2352"/>
      <c r="M194" s="2352"/>
      <c r="N194" s="2363"/>
      <c r="O194" s="2352"/>
      <c r="P194" s="2352"/>
      <c r="Q194" s="2352"/>
      <c r="R194" s="2350"/>
      <c r="S194" s="2352"/>
      <c r="T194" s="1709"/>
      <c r="U194" s="1709"/>
      <c r="V194" s="1777"/>
      <c r="W194" s="1223"/>
    </row>
    <row r="195" spans="1:63" ht="16.5" customHeight="1">
      <c r="A195" s="1765"/>
      <c r="B195" s="1766"/>
      <c r="C195" s="1770"/>
      <c r="D195" s="2399"/>
      <c r="E195" s="2411"/>
      <c r="F195" s="2411"/>
      <c r="G195" s="2332"/>
      <c r="H195" s="2357"/>
      <c r="I195" s="2359"/>
      <c r="J195" s="2361"/>
      <c r="K195" s="2353"/>
      <c r="L195" s="2353"/>
      <c r="M195" s="2353"/>
      <c r="N195" s="2364"/>
      <c r="O195" s="2353"/>
      <c r="P195" s="2353"/>
      <c r="Q195" s="2353"/>
      <c r="R195" s="2351"/>
      <c r="S195" s="2353"/>
      <c r="T195" s="1224"/>
      <c r="U195" s="1224"/>
      <c r="V195" s="1224"/>
      <c r="W195" s="1225"/>
    </row>
    <row r="196" spans="1:63" ht="17.25" customHeight="1">
      <c r="A196" s="1765"/>
      <c r="B196" s="1766"/>
      <c r="C196" s="1770"/>
      <c r="D196" s="2399"/>
      <c r="E196" s="2411"/>
      <c r="F196" s="2411"/>
      <c r="G196" s="2332"/>
      <c r="H196" s="2357"/>
      <c r="I196" s="2359"/>
      <c r="J196" s="2362"/>
      <c r="K196" s="2353"/>
      <c r="L196" s="2353"/>
      <c r="M196" s="2353"/>
      <c r="N196" s="2351"/>
      <c r="O196" s="2353"/>
      <c r="P196" s="1712"/>
      <c r="Q196" s="1224"/>
      <c r="R196" s="1224"/>
      <c r="S196" s="1778"/>
      <c r="T196" s="1778"/>
      <c r="U196" s="1778"/>
      <c r="V196" s="1778"/>
      <c r="W196" s="1225"/>
    </row>
    <row r="197" spans="1:63" ht="17.25" customHeight="1">
      <c r="A197" s="1765"/>
      <c r="B197" s="1766"/>
      <c r="C197" s="1770"/>
      <c r="D197" s="2399"/>
      <c r="E197" s="2411"/>
      <c r="F197" s="2411"/>
      <c r="G197" s="2332"/>
      <c r="H197" s="2357"/>
      <c r="I197" s="2359"/>
      <c r="J197" s="2362"/>
      <c r="K197" s="2353"/>
      <c r="L197" s="1224"/>
      <c r="M197" s="1224"/>
      <c r="N197" s="1224"/>
      <c r="O197" s="1224"/>
      <c r="P197" s="1224"/>
      <c r="Q197" s="1224"/>
      <c r="R197" s="1224"/>
      <c r="S197" s="1778"/>
      <c r="T197" s="1778"/>
      <c r="U197" s="1778"/>
      <c r="V197" s="1778"/>
      <c r="W197" s="1225"/>
    </row>
    <row r="198" spans="1:63" ht="17.25" customHeight="1">
      <c r="A198" s="1765"/>
      <c r="B198" s="1766"/>
      <c r="C198" s="1770"/>
      <c r="D198" s="2399"/>
      <c r="E198" s="2411"/>
      <c r="F198" s="2411"/>
      <c r="G198" s="2332"/>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1951</v>
      </c>
    </row>
    <row r="201" spans="1:63" ht="17.25" customHeight="1">
      <c r="G201" s="1764"/>
      <c r="H201" s="1764"/>
      <c r="I201" s="1764"/>
      <c r="M201" s="1760"/>
    </row>
    <row r="202" spans="1:63" s="1775" customFormat="1" ht="15" customHeight="1">
      <c r="D202" s="2728"/>
      <c r="E202" s="2406"/>
      <c r="F202" s="2406"/>
      <c r="G202" s="2392"/>
      <c r="H202" s="1491"/>
      <c r="I202" s="2729">
        <v>1</v>
      </c>
      <c r="J202" s="2397"/>
      <c r="K202" s="1506"/>
      <c r="L202" s="2392" t="s">
        <v>67</v>
      </c>
      <c r="M202" s="2392" t="s">
        <v>67</v>
      </c>
      <c r="N202" s="1491"/>
      <c r="O202" s="2343" t="s">
        <v>110</v>
      </c>
      <c r="P202" s="2735"/>
      <c r="Q202" s="1507"/>
      <c r="R202" s="2392" t="s">
        <v>67</v>
      </c>
      <c r="S202" s="2392" t="s">
        <v>67</v>
      </c>
      <c r="T202" s="1780"/>
      <c r="U202" s="2343" t="s">
        <v>110</v>
      </c>
      <c r="V202" s="2725" t="str">
        <f>IF(AK202="","",INDEX(TERRITORY_MR_LIST,MATCH(AK202,TERRITORY_LIST_ID,0)))</f>
        <v/>
      </c>
      <c r="W202" s="1508"/>
      <c r="X202" s="2392" t="s">
        <v>67</v>
      </c>
      <c r="Y202" s="2392" t="s">
        <v>19</v>
      </c>
      <c r="Z202" s="1491"/>
      <c r="AA202" s="2343" t="s">
        <v>110</v>
      </c>
      <c r="AB202" s="2727"/>
      <c r="AC202" s="1509"/>
      <c r="AD202" s="2392" t="s">
        <v>67</v>
      </c>
      <c r="AE202" s="2392" t="s">
        <v>19</v>
      </c>
      <c r="AF202" s="1489"/>
      <c r="AG202" s="1737" t="s">
        <v>110</v>
      </c>
      <c r="AH202" s="1499"/>
      <c r="AI202" s="1727"/>
    </row>
    <row r="203" spans="1:63" s="1775" customFormat="1" ht="15" customHeight="1">
      <c r="D203" s="2728"/>
      <c r="E203" s="2406"/>
      <c r="F203" s="2406"/>
      <c r="G203" s="2393"/>
      <c r="H203" s="1491"/>
      <c r="I203" s="2729"/>
      <c r="J203" s="2397"/>
      <c r="K203" s="1490"/>
      <c r="L203" s="2393"/>
      <c r="M203" s="2393"/>
      <c r="N203" s="1491"/>
      <c r="O203" s="2343"/>
      <c r="P203" s="2735"/>
      <c r="Q203" s="1487"/>
      <c r="R203" s="2393"/>
      <c r="S203" s="2393"/>
      <c r="T203" s="1780"/>
      <c r="U203" s="2343"/>
      <c r="V203" s="2726"/>
      <c r="W203" s="1488"/>
      <c r="X203" s="2393"/>
      <c r="Y203" s="2393"/>
      <c r="Z203" s="1491"/>
      <c r="AA203" s="2343"/>
      <c r="AB203" s="2664"/>
      <c r="AC203" s="1492"/>
      <c r="AD203" s="2347"/>
      <c r="AE203" s="2347"/>
      <c r="AF203" s="1493"/>
      <c r="AG203" s="1494"/>
      <c r="AH203" s="2731" t="s">
        <v>1952</v>
      </c>
      <c r="AI203" s="2732"/>
    </row>
    <row r="204" spans="1:63" s="1775" customFormat="1" ht="15" customHeight="1">
      <c r="D204" s="2728"/>
      <c r="E204" s="2406"/>
      <c r="F204" s="2406"/>
      <c r="G204" s="2393"/>
      <c r="H204" s="1491"/>
      <c r="I204" s="2729"/>
      <c r="J204" s="2397"/>
      <c r="K204" s="1490"/>
      <c r="L204" s="2393"/>
      <c r="M204" s="2393"/>
      <c r="N204" s="1491"/>
      <c r="O204" s="2343"/>
      <c r="P204" s="2735"/>
      <c r="Q204" s="1487"/>
      <c r="R204" s="2393"/>
      <c r="S204" s="2393"/>
      <c r="T204" s="1780"/>
      <c r="U204" s="2343"/>
      <c r="V204" s="2726"/>
      <c r="W204" s="1488"/>
      <c r="X204" s="2393"/>
      <c r="Y204" s="2393"/>
      <c r="Z204" s="1530"/>
      <c r="AA204" s="1496"/>
      <c r="AB204" s="2733" t="s">
        <v>1953</v>
      </c>
      <c r="AC204" s="2733"/>
      <c r="AD204" s="2733"/>
      <c r="AE204" s="2733"/>
      <c r="AF204" s="2733"/>
      <c r="AG204" s="2733"/>
      <c r="AH204" s="2733"/>
      <c r="AI204" s="2734"/>
    </row>
    <row r="205" spans="1:63" s="1775" customFormat="1" ht="15" customHeight="1">
      <c r="D205" s="2728"/>
      <c r="E205" s="2406"/>
      <c r="F205" s="2406"/>
      <c r="G205" s="2393"/>
      <c r="H205" s="1491"/>
      <c r="I205" s="2729"/>
      <c r="J205" s="2397"/>
      <c r="K205" s="1490"/>
      <c r="L205" s="2393"/>
      <c r="M205" s="2393"/>
      <c r="N205" s="1491"/>
      <c r="O205" s="2343"/>
      <c r="P205" s="2736"/>
      <c r="Q205" s="1487"/>
      <c r="R205" s="2393"/>
      <c r="S205" s="2393"/>
      <c r="T205" s="1781"/>
      <c r="U205" s="1531"/>
      <c r="V205" s="2731" t="s">
        <v>104</v>
      </c>
      <c r="W205" s="2731"/>
      <c r="X205" s="2731"/>
      <c r="Y205" s="2731"/>
      <c r="Z205" s="2731"/>
      <c r="AA205" s="2731"/>
      <c r="AB205" s="2731"/>
      <c r="AC205" s="2731"/>
      <c r="AD205" s="2731"/>
      <c r="AE205" s="2731"/>
      <c r="AF205" s="2731"/>
      <c r="AG205" s="2731"/>
      <c r="AH205" s="2731"/>
      <c r="AI205" s="2732"/>
    </row>
    <row r="206" spans="1:63" s="1775" customFormat="1" ht="11.25" customHeight="1">
      <c r="D206" s="2728"/>
      <c r="E206" s="2406"/>
      <c r="F206" s="2406"/>
      <c r="G206" s="2393"/>
      <c r="H206" s="1495"/>
      <c r="I206" s="2729"/>
      <c r="J206" s="2730"/>
      <c r="K206" s="1490"/>
      <c r="L206" s="2393"/>
      <c r="M206" s="2393"/>
      <c r="N206" s="1495"/>
      <c r="O206" s="1496"/>
      <c r="P206" s="2731" t="s">
        <v>1954</v>
      </c>
      <c r="Q206" s="2731"/>
      <c r="R206" s="2731"/>
      <c r="S206" s="2731"/>
      <c r="T206" s="2731"/>
      <c r="U206" s="2731"/>
      <c r="V206" s="2731"/>
      <c r="W206" s="2731"/>
      <c r="X206" s="2731"/>
      <c r="Y206" s="2731"/>
      <c r="Z206" s="2731"/>
      <c r="AA206" s="2731"/>
      <c r="AB206" s="2731"/>
      <c r="AC206" s="2731"/>
      <c r="AD206" s="2731"/>
      <c r="AE206" s="2731"/>
      <c r="AF206" s="2731"/>
      <c r="AG206" s="2731"/>
      <c r="AH206" s="2731"/>
      <c r="AI206" s="2732"/>
    </row>
    <row r="207" spans="1:63" s="1481" customFormat="1" ht="11.25" customHeight="1">
      <c r="D207" s="2728"/>
      <c r="E207" s="2406"/>
      <c r="F207" s="2406"/>
      <c r="G207" s="2347"/>
      <c r="H207" s="1497"/>
      <c r="I207" s="1498"/>
      <c r="J207" s="2731" t="s">
        <v>172</v>
      </c>
      <c r="K207" s="2731"/>
      <c r="L207" s="2731"/>
      <c r="M207" s="2731"/>
      <c r="N207" s="2731"/>
      <c r="O207" s="2731"/>
      <c r="P207" s="2731"/>
      <c r="Q207" s="2731"/>
      <c r="R207" s="2731"/>
      <c r="S207" s="2731"/>
      <c r="T207" s="2731"/>
      <c r="U207" s="2731"/>
      <c r="V207" s="2731"/>
      <c r="W207" s="2731"/>
      <c r="X207" s="2731"/>
      <c r="Y207" s="2731"/>
      <c r="Z207" s="2731"/>
      <c r="AA207" s="2731"/>
      <c r="AB207" s="2731"/>
      <c r="AC207" s="2731"/>
      <c r="AD207" s="2731"/>
      <c r="AE207" s="2731"/>
      <c r="AF207" s="2731"/>
      <c r="AG207" s="2731"/>
      <c r="AH207" s="2731"/>
      <c r="AI207" s="2732"/>
      <c r="BK207" s="1501"/>
    </row>
    <row r="208" spans="1:63" ht="17.25" customHeight="1">
      <c r="G208" s="1764"/>
      <c r="I208" s="1764"/>
      <c r="J208" s="1764"/>
      <c r="N208" s="1760"/>
    </row>
    <row r="209" spans="4:63" s="1775" customFormat="1" ht="15" customHeight="1">
      <c r="D209" s="2728"/>
      <c r="E209" s="2406"/>
      <c r="F209" s="2406"/>
      <c r="G209" s="2411"/>
      <c r="H209" s="1526"/>
      <c r="I209" s="2414"/>
      <c r="J209" s="2360"/>
      <c r="K209" s="1711"/>
      <c r="L209" s="2352"/>
      <c r="M209" s="2352"/>
      <c r="N209" s="1511"/>
      <c r="O209" s="2352"/>
      <c r="P209" s="2360"/>
      <c r="Q209" s="1715"/>
      <c r="R209" s="2352"/>
      <c r="S209" s="2352"/>
      <c r="T209" s="1782"/>
      <c r="U209" s="2352"/>
      <c r="V209" s="2360"/>
      <c r="W209" s="1514"/>
      <c r="X209" s="2352"/>
      <c r="Y209" s="2352"/>
      <c r="Z209" s="1511"/>
      <c r="AA209" s="2352"/>
      <c r="AB209" s="2360"/>
      <c r="AC209" s="1515"/>
      <c r="AD209" s="2352"/>
      <c r="AE209" s="2352"/>
      <c r="AF209" s="1709"/>
      <c r="AG209" s="1709"/>
      <c r="AH209" s="1516"/>
      <c r="AI209" s="1223"/>
    </row>
    <row r="210" spans="4:63" s="1775" customFormat="1" ht="15" customHeight="1">
      <c r="D210" s="2728"/>
      <c r="E210" s="2406"/>
      <c r="F210" s="2406"/>
      <c r="G210" s="2411"/>
      <c r="H210" s="1527"/>
      <c r="I210" s="2415"/>
      <c r="J210" s="2361"/>
      <c r="K210" s="1537"/>
      <c r="L210" s="2353"/>
      <c r="M210" s="2353"/>
      <c r="N210" s="1517"/>
      <c r="O210" s="2353"/>
      <c r="P210" s="2361"/>
      <c r="Q210" s="1716"/>
      <c r="R210" s="2353"/>
      <c r="S210" s="2353"/>
      <c r="T210" s="1783"/>
      <c r="U210" s="2353"/>
      <c r="V210" s="2361"/>
      <c r="W210" s="1520"/>
      <c r="X210" s="2353"/>
      <c r="Y210" s="2353"/>
      <c r="Z210" s="1517"/>
      <c r="AA210" s="2353"/>
      <c r="AB210" s="2361"/>
      <c r="AC210" s="1521"/>
      <c r="AD210" s="2353"/>
      <c r="AE210" s="2353"/>
      <c r="AF210" s="1714"/>
      <c r="AG210" s="1714"/>
      <c r="AH210" s="2418"/>
      <c r="AI210" s="2419"/>
    </row>
    <row r="211" spans="4:63" s="1775" customFormat="1" ht="15" customHeight="1">
      <c r="D211" s="2728"/>
      <c r="E211" s="2406"/>
      <c r="F211" s="2406"/>
      <c r="G211" s="2411"/>
      <c r="H211" s="1527"/>
      <c r="I211" s="2415"/>
      <c r="J211" s="2361"/>
      <c r="K211" s="1537"/>
      <c r="L211" s="2353"/>
      <c r="M211" s="2353"/>
      <c r="N211" s="1517"/>
      <c r="O211" s="2353"/>
      <c r="P211" s="2361"/>
      <c r="Q211" s="1716"/>
      <c r="R211" s="2353"/>
      <c r="S211" s="2353"/>
      <c r="T211" s="1783"/>
      <c r="U211" s="2353"/>
      <c r="V211" s="2361"/>
      <c r="W211" s="1520"/>
      <c r="X211" s="2353"/>
      <c r="Y211" s="2353"/>
      <c r="Z211" s="1712"/>
      <c r="AA211" s="1714"/>
      <c r="AB211" s="2418"/>
      <c r="AC211" s="2418"/>
      <c r="AD211" s="2418"/>
      <c r="AE211" s="2418"/>
      <c r="AF211" s="2418"/>
      <c r="AG211" s="2418"/>
      <c r="AH211" s="2418"/>
      <c r="AI211" s="2419"/>
    </row>
    <row r="212" spans="4:63" s="1775" customFormat="1" ht="15" customHeight="1">
      <c r="D212" s="2728"/>
      <c r="E212" s="2406"/>
      <c r="F212" s="2406"/>
      <c r="G212" s="2411"/>
      <c r="H212" s="1527"/>
      <c r="I212" s="2415"/>
      <c r="J212" s="2361"/>
      <c r="K212" s="1537"/>
      <c r="L212" s="2353"/>
      <c r="M212" s="2353"/>
      <c r="N212" s="1517"/>
      <c r="O212" s="2353"/>
      <c r="P212" s="2361"/>
      <c r="Q212" s="1716"/>
      <c r="R212" s="2353"/>
      <c r="S212" s="2353"/>
      <c r="T212" s="1784"/>
      <c r="U212" s="1524"/>
      <c r="V212" s="2418"/>
      <c r="W212" s="2418"/>
      <c r="X212" s="2418"/>
      <c r="Y212" s="2418"/>
      <c r="Z212" s="2418"/>
      <c r="AA212" s="2418"/>
      <c r="AB212" s="2418"/>
      <c r="AC212" s="2418"/>
      <c r="AD212" s="2418"/>
      <c r="AE212" s="2418"/>
      <c r="AF212" s="2418"/>
      <c r="AG212" s="2418"/>
      <c r="AH212" s="2418"/>
      <c r="AI212" s="2419"/>
    </row>
    <row r="213" spans="4:63" s="1775" customFormat="1" ht="11.25" customHeight="1">
      <c r="D213" s="2728"/>
      <c r="E213" s="2406"/>
      <c r="F213" s="2406"/>
      <c r="G213" s="2411"/>
      <c r="H213" s="1528"/>
      <c r="I213" s="2415"/>
      <c r="J213" s="2361"/>
      <c r="K213" s="1537"/>
      <c r="L213" s="2353"/>
      <c r="M213" s="2353"/>
      <c r="N213" s="1714"/>
      <c r="O213" s="1714"/>
      <c r="P213" s="2418"/>
      <c r="Q213" s="2418"/>
      <c r="R213" s="2418"/>
      <c r="S213" s="2418"/>
      <c r="T213" s="2418"/>
      <c r="U213" s="2418"/>
      <c r="V213" s="2418"/>
      <c r="W213" s="2418"/>
      <c r="X213" s="2418"/>
      <c r="Y213" s="2418"/>
      <c r="Z213" s="2418"/>
      <c r="AA213" s="2418"/>
      <c r="AB213" s="2418"/>
      <c r="AC213" s="2418"/>
      <c r="AD213" s="2418"/>
      <c r="AE213" s="2418"/>
      <c r="AF213" s="2418"/>
      <c r="AG213" s="2418"/>
      <c r="AH213" s="2418"/>
      <c r="AI213" s="2419"/>
    </row>
    <row r="214" spans="4:63" s="1481" customFormat="1" ht="11.25" customHeight="1">
      <c r="D214" s="2728"/>
      <c r="E214" s="2406"/>
      <c r="F214" s="2406"/>
      <c r="G214" s="2420"/>
      <c r="H214" s="1525"/>
      <c r="I214" s="1529"/>
      <c r="J214" s="2416"/>
      <c r="K214" s="2416"/>
      <c r="L214" s="2416"/>
      <c r="M214" s="2416"/>
      <c r="N214" s="2416"/>
      <c r="O214" s="2416"/>
      <c r="P214" s="2416"/>
      <c r="Q214" s="2416"/>
      <c r="R214" s="2416"/>
      <c r="S214" s="2416"/>
      <c r="T214" s="2416"/>
      <c r="U214" s="2416"/>
      <c r="V214" s="2416"/>
      <c r="W214" s="2416"/>
      <c r="X214" s="2416"/>
      <c r="Y214" s="2416"/>
      <c r="Z214" s="2416"/>
      <c r="AA214" s="2416"/>
      <c r="AB214" s="2416"/>
      <c r="AC214" s="2416"/>
      <c r="AD214" s="2416"/>
      <c r="AE214" s="2416"/>
      <c r="AF214" s="2416"/>
      <c r="AG214" s="2416"/>
      <c r="AH214" s="2416"/>
      <c r="AI214" s="2417"/>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E3308-344C-1525-3A39-4713EE1D750D}">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1955</v>
      </c>
      <c r="B1" s="777"/>
      <c r="C1" s="912" t="s">
        <v>1956</v>
      </c>
      <c r="D1" s="910" t="s">
        <v>816</v>
      </c>
      <c r="E1" s="910" t="s">
        <v>862</v>
      </c>
      <c r="F1" s="910" t="s">
        <v>915</v>
      </c>
      <c r="G1" s="910" t="s">
        <v>902</v>
      </c>
      <c r="H1" s="910" t="s">
        <v>1629</v>
      </c>
    </row>
    <row r="2" spans="1:8" ht="9" customHeight="1">
      <c r="A2" s="913" t="s">
        <v>1957</v>
      </c>
      <c r="B2" s="913"/>
      <c r="C2" s="914" t="str">
        <f>INDEX(TEMPLATE_NUMBER_FORM_LIST,MATCH(TEMPLATE_SPHERE,TEMPLATE_SPHERE_LIST,0))</f>
        <v>16</v>
      </c>
      <c r="D2" s="913" t="s">
        <v>1480</v>
      </c>
      <c r="E2" s="913" t="s">
        <v>150</v>
      </c>
      <c r="F2" s="915" t="s">
        <v>150</v>
      </c>
      <c r="G2" s="913" t="s">
        <v>150</v>
      </c>
      <c r="H2" s="916"/>
    </row>
    <row r="3" spans="1:8" ht="63" customHeight="1">
      <c r="A3" s="777"/>
      <c r="B3" s="777" t="s">
        <v>110</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1958</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1959</v>
      </c>
      <c r="B4" s="777" t="s">
        <v>111</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1960</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1961</v>
      </c>
    </row>
    <row r="5" spans="1:8" ht="117" customHeight="1">
      <c r="A5" s="777" t="s">
        <v>1962</v>
      </c>
      <c r="B5" s="777" t="s">
        <v>91</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1963</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1964</v>
      </c>
    </row>
    <row r="6" spans="1:8" ht="90" customHeight="1">
      <c r="A6" s="777" t="s">
        <v>1965</v>
      </c>
      <c r="B6" s="777" t="s">
        <v>92</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1966</v>
      </c>
      <c r="B7" s="777" t="s">
        <v>112</v>
      </c>
      <c r="C7" s="914" t="str">
        <f>IF(TEMPLATE_SPHERE="HEAT",D7,E7)</f>
        <v>Форма 11. Информация о расходах на капитальный и текущий ремонт основных средств</v>
      </c>
      <c r="D7" s="777" t="s">
        <v>1967</v>
      </c>
      <c r="E7" s="777" t="s">
        <v>1968</v>
      </c>
      <c r="F7" s="916"/>
      <c r="G7" s="916"/>
      <c r="H7" s="916"/>
    </row>
    <row r="8" spans="1:8" ht="108" customHeight="1">
      <c r="A8" s="777" t="s">
        <v>1969</v>
      </c>
      <c r="B8" s="777" t="s">
        <v>93</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1172</v>
      </c>
      <c r="E8" s="777" t="s">
        <v>1970</v>
      </c>
      <c r="F8" s="916"/>
      <c r="G8" s="916"/>
      <c r="H8" s="916"/>
    </row>
    <row r="9" spans="1:8" ht="99" customHeight="1">
      <c r="A9" s="777" t="s">
        <v>1971</v>
      </c>
      <c r="B9" s="777"/>
      <c r="C9" s="777" t="s">
        <v>1972</v>
      </c>
      <c r="D9" s="777"/>
      <c r="E9" s="777"/>
      <c r="F9" s="916"/>
      <c r="G9" s="916"/>
      <c r="H9" s="916"/>
    </row>
    <row r="10" spans="1:8" ht="126" customHeight="1">
      <c r="A10" s="777" t="s">
        <v>1973</v>
      </c>
      <c r="B10" s="777"/>
      <c r="C10" s="777" t="s">
        <v>1974</v>
      </c>
      <c r="D10" s="777"/>
      <c r="E10" s="777"/>
      <c r="F10" s="916"/>
      <c r="G10" s="916"/>
      <c r="H10" s="916"/>
    </row>
    <row r="11" spans="1:8" ht="108" customHeight="1">
      <c r="A11" s="777" t="s">
        <v>1975</v>
      </c>
      <c r="B11" s="777"/>
      <c r="C11" s="777" t="s">
        <v>1976</v>
      </c>
      <c r="D11" s="777"/>
      <c r="E11" s="777"/>
      <c r="F11" s="916"/>
      <c r="G11" s="916"/>
      <c r="H11" s="916"/>
    </row>
    <row r="12" spans="1:8" ht="54" customHeight="1">
      <c r="A12" s="777" t="s">
        <v>1977</v>
      </c>
      <c r="B12" s="777"/>
      <c r="C12" s="777" t="s">
        <v>1978</v>
      </c>
      <c r="D12" s="777"/>
      <c r="E12" s="777"/>
      <c r="F12" s="916"/>
      <c r="G12" s="916"/>
      <c r="H12" s="916"/>
    </row>
    <row r="13" spans="1:8" ht="45" customHeight="1">
      <c r="A13" s="777" t="s">
        <v>1979</v>
      </c>
      <c r="B13" s="777"/>
      <c r="C13" s="777" t="s">
        <v>1980</v>
      </c>
      <c r="D13" s="777"/>
      <c r="E13" s="777"/>
      <c r="F13" s="916"/>
      <c r="G13" s="916"/>
      <c r="H13" s="916"/>
    </row>
    <row r="14" spans="1:8" ht="117" customHeight="1">
      <c r="A14" s="777" t="s">
        <v>1981</v>
      </c>
      <c r="B14" s="777"/>
      <c r="C14" s="777" t="s">
        <v>1982</v>
      </c>
      <c r="D14" s="777"/>
      <c r="E14" s="777"/>
      <c r="F14" s="916"/>
      <c r="G14" s="916"/>
      <c r="H14" s="916"/>
    </row>
    <row r="15" spans="1:8" ht="117" customHeight="1">
      <c r="A15" s="777" t="s">
        <v>1983</v>
      </c>
      <c r="B15" s="777"/>
      <c r="C15" s="777" t="s">
        <v>1984</v>
      </c>
      <c r="D15" s="777"/>
      <c r="E15" s="777"/>
      <c r="F15" s="916"/>
      <c r="G15" s="916"/>
      <c r="H15" s="916"/>
    </row>
    <row r="16" spans="1:8" ht="63" customHeight="1">
      <c r="A16" s="777" t="s">
        <v>1985</v>
      </c>
      <c r="B16" s="777"/>
      <c r="C16" s="777" t="s">
        <v>1986</v>
      </c>
      <c r="D16" s="777"/>
      <c r="E16" s="777"/>
      <c r="F16" s="916"/>
      <c r="G16" s="916"/>
      <c r="H16" s="916"/>
    </row>
    <row r="17" spans="1:8" ht="54" customHeight="1">
      <c r="A17" s="777" t="s">
        <v>1987</v>
      </c>
      <c r="B17" s="777"/>
      <c r="C17" s="914" t="s">
        <v>1988</v>
      </c>
      <c r="D17" s="777"/>
      <c r="E17" s="777"/>
      <c r="F17" s="916"/>
      <c r="G17" s="916"/>
      <c r="H17" s="916"/>
    </row>
    <row r="18" spans="1:8" ht="27" customHeight="1">
      <c r="A18" s="777" t="s">
        <v>1989</v>
      </c>
      <c r="B18" s="777"/>
      <c r="C18" s="914" t="s">
        <v>1990</v>
      </c>
      <c r="D18" s="777"/>
      <c r="E18" s="777"/>
      <c r="F18" s="916"/>
      <c r="G18" s="916"/>
      <c r="H18" s="916"/>
    </row>
    <row r="19" spans="1:8" ht="54" customHeight="1">
      <c r="A19" s="777" t="s">
        <v>1991</v>
      </c>
      <c r="B19" s="777"/>
      <c r="C19" s="914" t="s">
        <v>1992</v>
      </c>
      <c r="D19" s="777"/>
      <c r="E19" s="777"/>
      <c r="F19" s="916"/>
      <c r="G19" s="916"/>
      <c r="H19" s="916"/>
    </row>
    <row r="20" spans="1:8" ht="36" customHeight="1">
      <c r="A20" s="777" t="s">
        <v>1993</v>
      </c>
      <c r="B20" s="777"/>
      <c r="C20" s="914" t="s">
        <v>1994</v>
      </c>
      <c r="D20" s="777"/>
      <c r="E20" s="777"/>
      <c r="F20" s="916"/>
      <c r="G20" s="916"/>
      <c r="H20" s="916"/>
    </row>
    <row r="21" spans="1:8" ht="36" customHeight="1">
      <c r="A21" s="777" t="s">
        <v>1995</v>
      </c>
      <c r="B21" s="777"/>
      <c r="C21" s="914" t="s">
        <v>1996</v>
      </c>
      <c r="D21" s="777"/>
      <c r="E21" s="777"/>
      <c r="F21" s="916"/>
      <c r="G21" s="916"/>
      <c r="H21" s="916"/>
    </row>
    <row r="22" spans="1:8" ht="27" customHeight="1">
      <c r="A22" s="777" t="s">
        <v>1997</v>
      </c>
      <c r="B22" s="777"/>
      <c r="C22" s="914" t="s">
        <v>1998</v>
      </c>
      <c r="D22" s="777"/>
      <c r="E22" s="777"/>
      <c r="F22" s="916"/>
      <c r="G22" s="916"/>
      <c r="H22" s="916"/>
    </row>
    <row r="23" spans="1:8" ht="36" customHeight="1">
      <c r="A23" s="777" t="s">
        <v>1999</v>
      </c>
      <c r="B23" s="777"/>
      <c r="C23" s="914" t="s">
        <v>2000</v>
      </c>
      <c r="D23" s="777"/>
      <c r="E23" s="777"/>
      <c r="F23" s="916"/>
      <c r="G23" s="916"/>
      <c r="H23" s="916"/>
    </row>
    <row r="24" spans="1:8" ht="28.5" customHeight="1">
      <c r="A24" s="777" t="s">
        <v>2001</v>
      </c>
      <c r="B24" s="777"/>
      <c r="C24" s="914" t="s">
        <v>2002</v>
      </c>
      <c r="D24" s="777"/>
      <c r="E24" s="777"/>
      <c r="F24" s="916"/>
      <c r="G24" s="916"/>
      <c r="H24" s="916"/>
    </row>
    <row r="25" spans="1:8" ht="36" customHeight="1">
      <c r="A25" s="777" t="s">
        <v>2003</v>
      </c>
      <c r="B25" s="777"/>
      <c r="C25" s="914" t="s">
        <v>2004</v>
      </c>
      <c r="D25" s="777"/>
      <c r="E25" s="777"/>
      <c r="F25" s="916"/>
      <c r="G25" s="916"/>
      <c r="H25" s="916"/>
    </row>
    <row r="26" spans="1:8" ht="27" customHeight="1">
      <c r="A26" s="777" t="s">
        <v>2005</v>
      </c>
      <c r="B26" s="777"/>
      <c r="C26" s="914" t="s">
        <v>2006</v>
      </c>
      <c r="D26" s="777"/>
      <c r="E26" s="777"/>
      <c r="F26" s="916"/>
      <c r="G26" s="916"/>
      <c r="H26" s="916"/>
    </row>
    <row r="27" spans="1:8" ht="36" customHeight="1">
      <c r="A27" s="777" t="s">
        <v>2007</v>
      </c>
      <c r="B27" s="777"/>
      <c r="C27" s="914" t="s">
        <v>2008</v>
      </c>
      <c r="D27" s="777"/>
      <c r="E27" s="777"/>
      <c r="F27" s="916"/>
      <c r="G27" s="916"/>
      <c r="H27" s="916"/>
    </row>
    <row r="28" spans="1:8" ht="28.5" customHeight="1">
      <c r="A28" s="777" t="s">
        <v>2009</v>
      </c>
      <c r="B28" s="777"/>
      <c r="C28" s="914" t="s">
        <v>2010</v>
      </c>
      <c r="D28" s="777"/>
      <c r="E28" s="777"/>
      <c r="F28" s="916"/>
      <c r="G28" s="916"/>
      <c r="H28" s="916"/>
    </row>
    <row r="29" spans="1:8" ht="126" customHeight="1">
      <c r="A29" s="777" t="s">
        <v>2011</v>
      </c>
      <c r="B29" s="777" t="s">
        <v>1582</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2012</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2013</v>
      </c>
    </row>
    <row r="30" spans="1:8" ht="36" customHeight="1">
      <c r="A30" s="777" t="s">
        <v>2014</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2015</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2016</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2017</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2018</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2019</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2020</v>
      </c>
    </row>
    <row r="33" spans="1:8" ht="9" customHeight="1">
      <c r="A33" s="777"/>
      <c r="B33" s="777"/>
      <c r="C33" s="914"/>
      <c r="D33" s="777"/>
      <c r="E33" s="777"/>
      <c r="F33" s="916"/>
      <c r="G33" s="916"/>
      <c r="H33" s="916"/>
    </row>
    <row r="34" spans="1:8" ht="9" customHeight="1">
      <c r="A34" s="777"/>
      <c r="B34" s="777" t="s">
        <v>1518</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00891-96AB-147C-20EF-0A610EC40FA5}">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2021</v>
      </c>
      <c r="D1" s="828"/>
      <c r="E1" s="828"/>
      <c r="F1" s="828"/>
      <c r="G1" s="828"/>
      <c r="H1" s="828" t="s">
        <v>2022</v>
      </c>
      <c r="I1" s="828"/>
      <c r="J1" s="828"/>
      <c r="K1" s="828"/>
      <c r="L1" s="828"/>
      <c r="M1" s="828" t="s">
        <v>2023</v>
      </c>
      <c r="N1" s="828" t="s">
        <v>2024</v>
      </c>
      <c r="O1" s="2741" t="s">
        <v>2025</v>
      </c>
      <c r="P1" s="2741"/>
      <c r="Q1" s="2741"/>
      <c r="R1" s="2741"/>
      <c r="S1" s="2741"/>
      <c r="T1" s="2741" t="s">
        <v>2023</v>
      </c>
      <c r="U1" s="2741"/>
      <c r="V1" s="2741"/>
      <c r="W1" s="2741"/>
      <c r="X1" s="2741"/>
      <c r="Y1" s="929"/>
      <c r="Z1" s="2741" t="s">
        <v>2026</v>
      </c>
      <c r="AA1" s="2741"/>
      <c r="AB1" s="2741"/>
      <c r="AC1" s="2741"/>
      <c r="AD1" s="2741"/>
    </row>
    <row r="2" spans="1:34" ht="18" customHeight="1">
      <c r="A2" s="777"/>
      <c r="B2" s="777"/>
      <c r="C2" s="772" t="s">
        <v>816</v>
      </c>
      <c r="D2" s="772" t="s">
        <v>862</v>
      </c>
      <c r="E2" s="772" t="s">
        <v>915</v>
      </c>
      <c r="F2" s="772" t="s">
        <v>902</v>
      </c>
      <c r="G2" s="772" t="s">
        <v>1629</v>
      </c>
      <c r="H2" s="774"/>
      <c r="I2" s="774"/>
      <c r="J2" s="774"/>
      <c r="K2" s="774"/>
      <c r="L2" s="774"/>
      <c r="M2" s="774"/>
      <c r="N2" s="774"/>
      <c r="O2" s="772" t="s">
        <v>816</v>
      </c>
      <c r="P2" s="772" t="s">
        <v>862</v>
      </c>
      <c r="Q2" s="772" t="s">
        <v>902</v>
      </c>
      <c r="R2" s="772" t="s">
        <v>915</v>
      </c>
      <c r="S2" s="772" t="s">
        <v>1629</v>
      </c>
      <c r="T2" s="772" t="s">
        <v>816</v>
      </c>
      <c r="U2" s="772" t="s">
        <v>862</v>
      </c>
      <c r="V2" s="772" t="s">
        <v>902</v>
      </c>
      <c r="W2" s="772" t="s">
        <v>915</v>
      </c>
      <c r="X2" s="772" t="s">
        <v>1629</v>
      </c>
      <c r="Y2" s="772"/>
      <c r="Z2" s="772" t="s">
        <v>816</v>
      </c>
      <c r="AA2" s="781" t="s">
        <v>862</v>
      </c>
      <c r="AB2" s="772" t="s">
        <v>902</v>
      </c>
      <c r="AC2" s="772" t="s">
        <v>915</v>
      </c>
      <c r="AD2" s="772" t="s">
        <v>1629</v>
      </c>
    </row>
    <row r="3" spans="1:34" ht="162" customHeight="1">
      <c r="A3" s="776" t="s">
        <v>26</v>
      </c>
      <c r="B3" s="776"/>
      <c r="C3" s="2745" t="s">
        <v>2027</v>
      </c>
      <c r="D3" s="2746"/>
      <c r="E3" s="2746"/>
      <c r="F3" s="2747"/>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2028</v>
      </c>
      <c r="AA3" s="774" t="s">
        <v>2029</v>
      </c>
      <c r="AB3" s="777" t="s">
        <v>2030</v>
      </c>
      <c r="AC3" s="777" t="s">
        <v>2031</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742" t="s">
        <v>33</v>
      </c>
      <c r="B11" s="829">
        <v>1</v>
      </c>
      <c r="C11" s="2748" t="s">
        <v>1569</v>
      </c>
      <c r="D11" s="2748" t="s">
        <v>1565</v>
      </c>
      <c r="E11" s="2748" t="s">
        <v>1662</v>
      </c>
      <c r="F11" s="2748" t="s">
        <v>2032</v>
      </c>
      <c r="G11" s="2748"/>
      <c r="H11" s="828" t="s">
        <v>2033</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2034</v>
      </c>
      <c r="U11" s="774" t="s">
        <v>2035</v>
      </c>
      <c r="V11" s="774"/>
      <c r="W11" s="774"/>
      <c r="X11" s="774"/>
      <c r="Y11" s="930"/>
      <c r="Z11" s="777" t="s">
        <v>2036</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742"/>
      <c r="B12" s="829">
        <v>2</v>
      </c>
      <c r="C12" s="2749"/>
      <c r="D12" s="2749"/>
      <c r="E12" s="2749"/>
      <c r="F12" s="2749"/>
      <c r="G12" s="2749"/>
      <c r="H12" s="828" t="s">
        <v>2037</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2038</v>
      </c>
      <c r="U12" s="774" t="s">
        <v>2039</v>
      </c>
      <c r="V12" s="774"/>
      <c r="W12" s="774"/>
      <c r="X12" s="774"/>
      <c r="Y12" s="930"/>
      <c r="Z12" s="777" t="s">
        <v>2040</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742"/>
      <c r="B13" s="829">
        <v>3</v>
      </c>
      <c r="C13" s="2749"/>
      <c r="D13" s="2749"/>
      <c r="E13" s="2749"/>
      <c r="F13" s="2749"/>
      <c r="G13" s="2749"/>
      <c r="H13" s="2741" t="s">
        <v>2041</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2042</v>
      </c>
      <c r="U13" s="775" t="s">
        <v>2043</v>
      </c>
      <c r="V13" s="775"/>
      <c r="W13" s="775"/>
      <c r="X13" s="774"/>
      <c r="Y13" s="930"/>
      <c r="Z13" s="777" t="s">
        <v>2044</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742"/>
      <c r="B14" s="829">
        <v>4</v>
      </c>
      <c r="C14" s="2749"/>
      <c r="D14" s="2749"/>
      <c r="E14" s="2749"/>
      <c r="F14" s="2749"/>
      <c r="G14" s="2749"/>
      <c r="H14" s="2741"/>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2045</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2046</v>
      </c>
      <c r="AA14" s="780" t="s">
        <v>2046</v>
      </c>
      <c r="AB14" s="777"/>
      <c r="AC14" s="777"/>
      <c r="AD14" s="777"/>
    </row>
    <row r="15" spans="1:34" ht="108" customHeight="1">
      <c r="A15" s="2742"/>
      <c r="B15" s="829">
        <v>5</v>
      </c>
      <c r="C15" s="2749"/>
      <c r="D15" s="2749"/>
      <c r="E15" s="2749"/>
      <c r="F15" s="2749"/>
      <c r="G15" s="2749"/>
      <c r="H15" s="2743" t="s">
        <v>2047</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2048</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2049</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750"/>
      <c r="D16" s="2750"/>
      <c r="E16" s="2750"/>
      <c r="F16" s="2750"/>
      <c r="G16" s="2750"/>
      <c r="H16" s="2744"/>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2049</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1665</v>
      </c>
      <c r="B18" s="829">
        <v>1</v>
      </c>
      <c r="C18" s="774" t="s">
        <v>2033</v>
      </c>
      <c r="D18" s="897" t="s">
        <v>2033</v>
      </c>
      <c r="E18" s="774" t="s">
        <v>2033</v>
      </c>
      <c r="F18" s="774" t="s">
        <v>2033</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2050</v>
      </c>
      <c r="U18" s="777" t="s">
        <v>2051</v>
      </c>
      <c r="V18" s="777" t="s">
        <v>2052</v>
      </c>
      <c r="W18" s="777" t="s">
        <v>2053</v>
      </c>
      <c r="X18" s="774"/>
      <c r="Y18" s="930"/>
      <c r="Z18" s="777" t="s">
        <v>2054</v>
      </c>
      <c r="AA18" s="780" t="s">
        <v>2055</v>
      </c>
      <c r="AB18" s="780" t="s">
        <v>2055</v>
      </c>
      <c r="AC18" s="780" t="s">
        <v>2055</v>
      </c>
      <c r="AD18" s="777"/>
    </row>
    <row r="19" spans="1:30" ht="36" customHeight="1">
      <c r="A19" s="776"/>
      <c r="B19" s="829">
        <v>2</v>
      </c>
      <c r="C19" s="774" t="s">
        <v>2037</v>
      </c>
      <c r="D19" s="897" t="s">
        <v>2037</v>
      </c>
      <c r="E19" s="774" t="s">
        <v>2037</v>
      </c>
      <c r="F19" s="774" t="s">
        <v>2037</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2056</v>
      </c>
      <c r="U19" s="777" t="s">
        <v>2057</v>
      </c>
      <c r="V19" s="777" t="s">
        <v>2058</v>
      </c>
      <c r="W19" s="777" t="s">
        <v>2059</v>
      </c>
      <c r="X19" s="774"/>
      <c r="Y19" s="930"/>
      <c r="Z19" s="777" t="s">
        <v>2060</v>
      </c>
      <c r="AA19" s="780" t="s">
        <v>2060</v>
      </c>
      <c r="AB19" s="780" t="s">
        <v>2060</v>
      </c>
      <c r="AC19" s="780" t="s">
        <v>2060</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717</v>
      </c>
      <c r="P20" s="887" t="s">
        <v>717</v>
      </c>
      <c r="Q20" s="887" t="s">
        <v>717</v>
      </c>
      <c r="R20" s="887" t="s">
        <v>717</v>
      </c>
      <c r="S20" s="887"/>
      <c r="T20" s="894" t="s">
        <v>2061</v>
      </c>
      <c r="U20" s="777" t="s">
        <v>2062</v>
      </c>
      <c r="V20" s="777" t="s">
        <v>2063</v>
      </c>
      <c r="W20" s="777" t="s">
        <v>2064</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314</v>
      </c>
      <c r="P21" s="887"/>
      <c r="Q21" s="887"/>
      <c r="R21" s="887"/>
      <c r="S21" s="887"/>
      <c r="T21" s="894" t="s">
        <v>2065</v>
      </c>
      <c r="U21" s="777"/>
      <c r="V21" s="777"/>
      <c r="W21" s="777"/>
      <c r="X21" s="774"/>
      <c r="Y21" s="930"/>
      <c r="Z21" s="777" t="s">
        <v>2066</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314</v>
      </c>
      <c r="R22" s="887"/>
      <c r="S22" s="887"/>
      <c r="T22" s="894"/>
      <c r="U22" s="777"/>
      <c r="V22" s="777" t="s">
        <v>2067</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317</v>
      </c>
      <c r="R23" s="887"/>
      <c r="S23" s="887"/>
      <c r="T23" s="894"/>
      <c r="U23" s="777"/>
      <c r="V23" s="777" t="s">
        <v>2068</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737</v>
      </c>
      <c r="R24" s="887"/>
      <c r="S24" s="887"/>
      <c r="T24" s="894"/>
      <c r="U24" s="777"/>
      <c r="V24" s="777" t="s">
        <v>2069</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317</v>
      </c>
      <c r="P25" s="887" t="s">
        <v>314</v>
      </c>
      <c r="Q25" s="887" t="s">
        <v>744</v>
      </c>
      <c r="R25" s="887" t="s">
        <v>314</v>
      </c>
      <c r="S25" s="887"/>
      <c r="T25" s="894" t="s">
        <v>2070</v>
      </c>
      <c r="U25" s="777" t="s">
        <v>2070</v>
      </c>
      <c r="V25" s="777" t="s">
        <v>2070</v>
      </c>
      <c r="W25" s="777" t="s">
        <v>2070</v>
      </c>
      <c r="X25" s="774"/>
      <c r="Y25" s="930"/>
      <c r="Z25" s="777"/>
      <c r="AA25" s="780"/>
      <c r="AB25" s="777"/>
      <c r="AC25" s="777"/>
      <c r="AD25" s="777"/>
    </row>
    <row r="26" spans="1:30" ht="18" customHeight="1">
      <c r="A26" s="776"/>
      <c r="B26" s="829">
        <v>9</v>
      </c>
      <c r="C26" s="774" t="s">
        <v>661</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733</v>
      </c>
      <c r="P26" s="887" t="s">
        <v>727</v>
      </c>
      <c r="Q26" s="887" t="s">
        <v>2071</v>
      </c>
      <c r="R26" s="887" t="s">
        <v>727</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2072</v>
      </c>
      <c r="V26" s="894" t="s">
        <v>2072</v>
      </c>
      <c r="W26" s="894" t="s">
        <v>2072</v>
      </c>
      <c r="X26" s="774"/>
      <c r="Y26" s="930"/>
      <c r="Z26" s="777"/>
      <c r="AA26" s="780"/>
      <c r="AB26" s="777"/>
      <c r="AC26" s="777"/>
      <c r="AD26" s="777"/>
    </row>
    <row r="27" spans="1:30" ht="18" customHeight="1">
      <c r="A27" s="776"/>
      <c r="B27" s="829">
        <v>10</v>
      </c>
      <c r="C27" s="774" t="s">
        <v>665</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735</v>
      </c>
      <c r="P27" s="887" t="s">
        <v>729</v>
      </c>
      <c r="Q27" s="887" t="s">
        <v>2073</v>
      </c>
      <c r="R27" s="887" t="s">
        <v>729</v>
      </c>
      <c r="S27" s="887"/>
      <c r="T27" s="894" t="s">
        <v>2074</v>
      </c>
      <c r="U27" s="894" t="s">
        <v>2074</v>
      </c>
      <c r="V27" s="894" t="s">
        <v>2074</v>
      </c>
      <c r="W27" s="894" t="s">
        <v>2074</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737</v>
      </c>
      <c r="P28" s="887"/>
      <c r="Q28" s="887"/>
      <c r="R28" s="887"/>
      <c r="S28" s="887"/>
      <c r="T28" s="894" t="s">
        <v>2075</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744</v>
      </c>
      <c r="P29" s="887" t="s">
        <v>317</v>
      </c>
      <c r="Q29" s="887"/>
      <c r="R29" s="887" t="s">
        <v>317</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2076</v>
      </c>
      <c r="V29" s="777"/>
      <c r="W29" s="777" t="s">
        <v>2076</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746</v>
      </c>
      <c r="P30" s="887" t="s">
        <v>737</v>
      </c>
      <c r="Q30" s="887" t="s">
        <v>746</v>
      </c>
      <c r="R30" s="887" t="s">
        <v>737</v>
      </c>
      <c r="S30" s="887"/>
      <c r="T30" s="894" t="s">
        <v>2077</v>
      </c>
      <c r="U30" s="777" t="s">
        <v>2077</v>
      </c>
      <c r="V30" s="777" t="s">
        <v>2077</v>
      </c>
      <c r="W30" s="777" t="s">
        <v>2077</v>
      </c>
      <c r="X30" s="774"/>
      <c r="Y30" s="930"/>
      <c r="Z30" s="777"/>
      <c r="AA30" s="780" t="s">
        <v>2078</v>
      </c>
      <c r="AB30" s="780" t="s">
        <v>2078</v>
      </c>
      <c r="AC30" s="780" t="s">
        <v>2078</v>
      </c>
      <c r="AD30" s="777"/>
    </row>
    <row r="31" spans="1:30" ht="18" customHeight="1">
      <c r="A31" s="776"/>
      <c r="B31" s="829">
        <v>14</v>
      </c>
      <c r="C31" s="774" t="s">
        <v>2079</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2080</v>
      </c>
      <c r="P31" s="887" t="s">
        <v>740</v>
      </c>
      <c r="Q31" s="887" t="s">
        <v>2080</v>
      </c>
      <c r="R31" s="887" t="s">
        <v>740</v>
      </c>
      <c r="S31" s="887"/>
      <c r="T31" s="895" t="s">
        <v>2081</v>
      </c>
      <c r="U31" s="777" t="s">
        <v>2081</v>
      </c>
      <c r="V31" s="777" t="s">
        <v>2081</v>
      </c>
      <c r="W31" s="777" t="s">
        <v>2081</v>
      </c>
      <c r="X31" s="774"/>
      <c r="Y31" s="930"/>
      <c r="Z31" s="777"/>
      <c r="AA31" s="780"/>
      <c r="AB31" s="780"/>
      <c r="AC31" s="780"/>
      <c r="AD31" s="777"/>
    </row>
    <row r="32" spans="1:30" ht="36" customHeight="1">
      <c r="A32" s="776"/>
      <c r="B32" s="829">
        <v>15</v>
      </c>
      <c r="C32" s="774" t="s">
        <v>2082</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2083</v>
      </c>
      <c r="P32" s="887" t="s">
        <v>742</v>
      </c>
      <c r="Q32" s="887" t="s">
        <v>2083</v>
      </c>
      <c r="R32" s="887" t="s">
        <v>742</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2084</v>
      </c>
      <c r="V32" s="777" t="s">
        <v>2084</v>
      </c>
      <c r="W32" s="777" t="s">
        <v>2084</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748</v>
      </c>
      <c r="P33" s="887" t="s">
        <v>744</v>
      </c>
      <c r="Q33" s="887" t="s">
        <v>748</v>
      </c>
      <c r="R33" s="887" t="s">
        <v>744</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2085</v>
      </c>
      <c r="V33" s="777" t="s">
        <v>2085</v>
      </c>
      <c r="W33" s="777" t="s">
        <v>2086</v>
      </c>
      <c r="X33" s="774"/>
      <c r="Y33" s="930"/>
      <c r="Z33" s="777"/>
      <c r="AA33" s="780" t="s">
        <v>2087</v>
      </c>
      <c r="AB33" s="780" t="s">
        <v>2087</v>
      </c>
      <c r="AC33" s="780" t="s">
        <v>2087</v>
      </c>
      <c r="AD33" s="777"/>
    </row>
    <row r="34" spans="1:30" ht="27" customHeight="1">
      <c r="A34" s="776"/>
      <c r="B34" s="829">
        <v>17</v>
      </c>
      <c r="C34" s="774" t="s">
        <v>2088</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2089</v>
      </c>
      <c r="P34" s="887" t="s">
        <v>2071</v>
      </c>
      <c r="Q34" s="887" t="s">
        <v>2089</v>
      </c>
      <c r="R34" s="887" t="s">
        <v>2071</v>
      </c>
      <c r="S34" s="887"/>
      <c r="T34" s="896" t="s">
        <v>2090</v>
      </c>
      <c r="U34" s="777" t="s">
        <v>2090</v>
      </c>
      <c r="V34" s="777" t="s">
        <v>2090</v>
      </c>
      <c r="W34" s="777" t="s">
        <v>2091</v>
      </c>
      <c r="X34" s="774"/>
      <c r="Y34" s="930"/>
      <c r="Z34" s="777"/>
      <c r="AA34" s="780"/>
      <c r="AB34" s="777"/>
      <c r="AC34" s="777"/>
      <c r="AD34" s="777"/>
    </row>
    <row r="35" spans="1:30" ht="45" customHeight="1">
      <c r="A35" s="776"/>
      <c r="B35" s="829">
        <v>18</v>
      </c>
      <c r="C35" s="774" t="s">
        <v>2092</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2093</v>
      </c>
      <c r="P35" s="887" t="s">
        <v>2073</v>
      </c>
      <c r="Q35" s="887" t="s">
        <v>2093</v>
      </c>
      <c r="R35" s="887" t="s">
        <v>2073</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2094</v>
      </c>
      <c r="V35" s="777" t="s">
        <v>2094</v>
      </c>
      <c r="W35" s="777" t="s">
        <v>2094</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750</v>
      </c>
      <c r="P36" s="887" t="s">
        <v>746</v>
      </c>
      <c r="Q36" s="887" t="s">
        <v>750</v>
      </c>
      <c r="R36" s="887" t="s">
        <v>746</v>
      </c>
      <c r="S36" s="887"/>
      <c r="T36" s="894" t="s">
        <v>2095</v>
      </c>
      <c r="U36" s="777" t="s">
        <v>2095</v>
      </c>
      <c r="V36" s="777" t="s">
        <v>2095</v>
      </c>
      <c r="W36" s="777" t="s">
        <v>2095</v>
      </c>
      <c r="X36" s="774"/>
      <c r="Y36" s="930"/>
      <c r="Z36" s="777"/>
      <c r="AA36" s="780"/>
      <c r="AB36" s="777"/>
      <c r="AC36" s="777"/>
      <c r="AD36" s="777"/>
    </row>
    <row r="37" spans="1:30" ht="18" customHeight="1">
      <c r="A37" s="776"/>
      <c r="B37" s="829">
        <v>20</v>
      </c>
      <c r="C37" s="774" t="s">
        <v>2096</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2097</v>
      </c>
      <c r="P37" s="887" t="s">
        <v>2080</v>
      </c>
      <c r="Q37" s="887" t="s">
        <v>2097</v>
      </c>
      <c r="R37" s="887" t="s">
        <v>2080</v>
      </c>
      <c r="S37" s="887"/>
      <c r="T37" s="894" t="s">
        <v>2098</v>
      </c>
      <c r="U37" s="777" t="s">
        <v>2098</v>
      </c>
      <c r="V37" s="777" t="s">
        <v>2098</v>
      </c>
      <c r="W37" s="777" t="s">
        <v>2098</v>
      </c>
      <c r="X37" s="774"/>
      <c r="Y37" s="930"/>
      <c r="Z37" s="777"/>
      <c r="AA37" s="780"/>
      <c r="AB37" s="777"/>
      <c r="AC37" s="777"/>
      <c r="AD37" s="777"/>
    </row>
    <row r="38" spans="1:30" ht="18" customHeight="1">
      <c r="A38" s="776"/>
      <c r="B38" s="829">
        <v>21</v>
      </c>
      <c r="C38" s="774" t="s">
        <v>2099</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2100</v>
      </c>
      <c r="P38" s="887" t="s">
        <v>2083</v>
      </c>
      <c r="Q38" s="887" t="s">
        <v>2100</v>
      </c>
      <c r="R38" s="887" t="s">
        <v>2083</v>
      </c>
      <c r="S38" s="887"/>
      <c r="T38" s="894" t="s">
        <v>2101</v>
      </c>
      <c r="U38" s="777" t="s">
        <v>2101</v>
      </c>
      <c r="V38" s="777" t="s">
        <v>2101</v>
      </c>
      <c r="W38" s="777" t="s">
        <v>2101</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754</v>
      </c>
      <c r="P39" s="887" t="s">
        <v>748</v>
      </c>
      <c r="Q39" s="887" t="s">
        <v>754</v>
      </c>
      <c r="R39" s="887" t="s">
        <v>748</v>
      </c>
      <c r="S39" s="887"/>
      <c r="T39" s="894" t="s">
        <v>2102</v>
      </c>
      <c r="U39" s="777" t="s">
        <v>2103</v>
      </c>
      <c r="V39" s="777" t="s">
        <v>2104</v>
      </c>
      <c r="W39" s="777" t="s">
        <v>2105</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2106</v>
      </c>
      <c r="P40" s="887" t="s">
        <v>750</v>
      </c>
      <c r="Q40" s="887" t="s">
        <v>2106</v>
      </c>
      <c r="R40" s="887" t="s">
        <v>750</v>
      </c>
      <c r="S40" s="887"/>
      <c r="T40" s="774" t="s">
        <v>2107</v>
      </c>
      <c r="U40" s="774" t="s">
        <v>2107</v>
      </c>
      <c r="V40" s="774" t="s">
        <v>2107</v>
      </c>
      <c r="W40" s="774" t="s">
        <v>2107</v>
      </c>
      <c r="X40" s="774"/>
      <c r="Y40" s="930"/>
      <c r="Z40" s="777" t="s">
        <v>2108</v>
      </c>
      <c r="AA40" s="780" t="s">
        <v>2108</v>
      </c>
      <c r="AB40" s="780" t="s">
        <v>2108</v>
      </c>
      <c r="AC40" s="780" t="s">
        <v>2108</v>
      </c>
      <c r="AD40" s="777"/>
    </row>
    <row r="41" spans="1:30" ht="27" customHeight="1">
      <c r="A41" s="776"/>
      <c r="B41" s="829">
        <v>24</v>
      </c>
      <c r="C41" s="774" t="s">
        <v>2109</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2110</v>
      </c>
      <c r="P41" s="887" t="s">
        <v>2097</v>
      </c>
      <c r="Q41" s="887" t="s">
        <v>2110</v>
      </c>
      <c r="R41" s="887" t="s">
        <v>2097</v>
      </c>
      <c r="S41" s="887"/>
      <c r="T41" s="774" t="s">
        <v>2111</v>
      </c>
      <c r="U41" s="774" t="s">
        <v>2111</v>
      </c>
      <c r="V41" s="774" t="s">
        <v>2111</v>
      </c>
      <c r="W41" s="774" t="s">
        <v>2111</v>
      </c>
      <c r="X41" s="774"/>
      <c r="Y41" s="930"/>
      <c r="Z41" s="777" t="s">
        <v>2112</v>
      </c>
      <c r="AA41" s="777" t="s">
        <v>2112</v>
      </c>
      <c r="AB41" s="777" t="s">
        <v>2112</v>
      </c>
      <c r="AC41" s="777" t="s">
        <v>2112</v>
      </c>
      <c r="AD41" s="777"/>
    </row>
    <row r="42" spans="1:30" ht="27" customHeight="1">
      <c r="A42" s="776"/>
      <c r="B42" s="829">
        <v>25</v>
      </c>
      <c r="C42" s="774" t="s">
        <v>2113</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2114</v>
      </c>
      <c r="P42" s="887" t="s">
        <v>2100</v>
      </c>
      <c r="Q42" s="887" t="s">
        <v>2114</v>
      </c>
      <c r="R42" s="887" t="s">
        <v>2100</v>
      </c>
      <c r="S42" s="887"/>
      <c r="T42" s="774" t="s">
        <v>2115</v>
      </c>
      <c r="U42" s="774" t="s">
        <v>2115</v>
      </c>
      <c r="V42" s="774" t="s">
        <v>2115</v>
      </c>
      <c r="W42" s="774" t="s">
        <v>2115</v>
      </c>
      <c r="X42" s="774"/>
      <c r="Y42" s="930"/>
      <c r="Z42" s="777" t="s">
        <v>2116</v>
      </c>
      <c r="AA42" s="777" t="s">
        <v>2116</v>
      </c>
      <c r="AB42" s="777" t="s">
        <v>2116</v>
      </c>
      <c r="AC42" s="777" t="s">
        <v>2116</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2117</v>
      </c>
      <c r="P43" s="887" t="s">
        <v>754</v>
      </c>
      <c r="Q43" s="887" t="s">
        <v>2117</v>
      </c>
      <c r="R43" s="887" t="s">
        <v>754</v>
      </c>
      <c r="S43" s="887"/>
      <c r="T43" s="774" t="s">
        <v>2118</v>
      </c>
      <c r="U43" s="774" t="s">
        <v>2118</v>
      </c>
      <c r="V43" s="774" t="s">
        <v>2118</v>
      </c>
      <c r="W43" s="774" t="s">
        <v>2118</v>
      </c>
      <c r="X43" s="774"/>
      <c r="Y43" s="930"/>
      <c r="Z43" s="777" t="s">
        <v>2119</v>
      </c>
      <c r="AA43" s="777" t="s">
        <v>2119</v>
      </c>
      <c r="AB43" s="777" t="s">
        <v>2119</v>
      </c>
      <c r="AC43" s="777" t="s">
        <v>2119</v>
      </c>
      <c r="AD43" s="777"/>
    </row>
    <row r="44" spans="1:30" ht="27" customHeight="1">
      <c r="A44" s="776"/>
      <c r="B44" s="829">
        <v>27</v>
      </c>
      <c r="C44" s="774" t="s">
        <v>2120</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2121</v>
      </c>
      <c r="P44" s="887" t="s">
        <v>2122</v>
      </c>
      <c r="Q44" s="887" t="s">
        <v>2121</v>
      </c>
      <c r="R44" s="887" t="s">
        <v>2122</v>
      </c>
      <c r="S44" s="887"/>
      <c r="T44" s="774" t="s">
        <v>2111</v>
      </c>
      <c r="U44" s="774" t="s">
        <v>2111</v>
      </c>
      <c r="V44" s="774" t="s">
        <v>2111</v>
      </c>
      <c r="W44" s="774" t="s">
        <v>2111</v>
      </c>
      <c r="X44" s="774"/>
      <c r="Y44" s="930"/>
      <c r="Z44" s="777" t="s">
        <v>2123</v>
      </c>
      <c r="AA44" s="777" t="s">
        <v>2123</v>
      </c>
      <c r="AB44" s="777" t="s">
        <v>2123</v>
      </c>
      <c r="AC44" s="777" t="s">
        <v>2123</v>
      </c>
      <c r="AD44" s="777"/>
    </row>
    <row r="45" spans="1:30" ht="27" customHeight="1">
      <c r="A45" s="776"/>
      <c r="B45" s="829">
        <v>28</v>
      </c>
      <c r="C45" s="774" t="s">
        <v>2124</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2125</v>
      </c>
      <c r="P45" s="887" t="s">
        <v>2126</v>
      </c>
      <c r="Q45" s="887" t="s">
        <v>2125</v>
      </c>
      <c r="R45" s="887" t="s">
        <v>2126</v>
      </c>
      <c r="S45" s="887"/>
      <c r="T45" s="774" t="s">
        <v>2115</v>
      </c>
      <c r="U45" s="774" t="s">
        <v>2115</v>
      </c>
      <c r="V45" s="774" t="s">
        <v>2115</v>
      </c>
      <c r="W45" s="774" t="s">
        <v>2115</v>
      </c>
      <c r="X45" s="774"/>
      <c r="Y45" s="930"/>
      <c r="Z45" s="777" t="s">
        <v>2127</v>
      </c>
      <c r="AA45" s="777" t="s">
        <v>2127</v>
      </c>
      <c r="AB45" s="777" t="s">
        <v>2127</v>
      </c>
      <c r="AC45" s="777" t="s">
        <v>2127</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2128</v>
      </c>
      <c r="P46" s="887" t="s">
        <v>2106</v>
      </c>
      <c r="Q46" s="887" t="s">
        <v>2128</v>
      </c>
      <c r="R46" s="887" t="s">
        <v>2106</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2129</v>
      </c>
      <c r="V46" s="774" t="s">
        <v>2129</v>
      </c>
      <c r="W46" s="774" t="s">
        <v>2129</v>
      </c>
      <c r="X46" s="774"/>
      <c r="Y46" s="930"/>
      <c r="Z46" s="777" t="s">
        <v>2130</v>
      </c>
      <c r="AA46" s="777" t="s">
        <v>2131</v>
      </c>
      <c r="AB46" s="777" t="s">
        <v>2131</v>
      </c>
      <c r="AC46" s="777" t="s">
        <v>2131</v>
      </c>
      <c r="AD46" s="777"/>
    </row>
    <row r="47" spans="1:30" ht="54" customHeight="1">
      <c r="A47" s="776"/>
      <c r="B47" s="829">
        <v>30</v>
      </c>
      <c r="C47" s="774" t="s">
        <v>2132</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2133</v>
      </c>
      <c r="P47" s="887" t="s">
        <v>2110</v>
      </c>
      <c r="Q47" s="887" t="s">
        <v>2133</v>
      </c>
      <c r="R47" s="887" t="s">
        <v>2110</v>
      </c>
      <c r="S47" s="887"/>
      <c r="T47" s="774" t="s">
        <v>2134</v>
      </c>
      <c r="U47" s="774" t="s">
        <v>2134</v>
      </c>
      <c r="V47" s="774" t="s">
        <v>2134</v>
      </c>
      <c r="W47" s="774" t="s">
        <v>2134</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2117</v>
      </c>
      <c r="Q48" s="887" t="s">
        <v>2135</v>
      </c>
      <c r="R48" s="887" t="s">
        <v>2117</v>
      </c>
      <c r="S48" s="887"/>
      <c r="T48" s="774"/>
      <c r="U48" s="774" t="s">
        <v>2136</v>
      </c>
      <c r="V48" s="774" t="s">
        <v>2137</v>
      </c>
      <c r="W48" s="774" t="s">
        <v>2137</v>
      </c>
      <c r="X48" s="774"/>
      <c r="Y48" s="930"/>
      <c r="Z48" s="777"/>
      <c r="AA48" s="780" t="s">
        <v>2131</v>
      </c>
      <c r="AB48" s="780" t="s">
        <v>2131</v>
      </c>
      <c r="AC48" s="780" t="s">
        <v>2131</v>
      </c>
      <c r="AD48" s="777"/>
    </row>
    <row r="49" spans="1:30" ht="54" customHeight="1">
      <c r="A49" s="776"/>
      <c r="B49" s="829">
        <v>32</v>
      </c>
      <c r="C49" s="774" t="s">
        <v>2138</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2121</v>
      </c>
      <c r="Q49" s="887" t="s">
        <v>2139</v>
      </c>
      <c r="R49" s="887" t="s">
        <v>2121</v>
      </c>
      <c r="S49" s="887"/>
      <c r="T49" s="774"/>
      <c r="U49" s="774" t="s">
        <v>2134</v>
      </c>
      <c r="V49" s="774" t="s">
        <v>2134</v>
      </c>
      <c r="W49" s="774" t="s">
        <v>2134</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2135</v>
      </c>
      <c r="P50" s="887" t="s">
        <v>2128</v>
      </c>
      <c r="Q50" s="887" t="s">
        <v>2140</v>
      </c>
      <c r="R50" s="887" t="s">
        <v>2128</v>
      </c>
      <c r="S50" s="887"/>
      <c r="T50" s="774" t="s">
        <v>2141</v>
      </c>
      <c r="U50" s="774" t="s">
        <v>2142</v>
      </c>
      <c r="V50" s="774" t="s">
        <v>2143</v>
      </c>
      <c r="W50" s="774" t="s">
        <v>2144</v>
      </c>
      <c r="X50" s="774"/>
      <c r="Y50" s="930"/>
      <c r="Z50" s="777" t="s">
        <v>2145</v>
      </c>
      <c r="AA50" s="780" t="s">
        <v>2146</v>
      </c>
      <c r="AB50" s="780" t="s">
        <v>2146</v>
      </c>
      <c r="AC50" s="780" t="s">
        <v>2146</v>
      </c>
      <c r="AD50" s="777"/>
    </row>
    <row r="51" spans="1:30" ht="27" customHeight="1">
      <c r="A51" s="776"/>
      <c r="B51" s="829">
        <v>34</v>
      </c>
      <c r="C51" s="774" t="s">
        <v>2147</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91</v>
      </c>
      <c r="P51" s="887"/>
      <c r="Q51" s="887"/>
      <c r="R51" s="887"/>
      <c r="S51" s="887"/>
      <c r="T51" s="774" t="s">
        <v>2148</v>
      </c>
      <c r="U51" s="774"/>
      <c r="V51" s="774"/>
      <c r="W51" s="774"/>
      <c r="X51" s="774"/>
      <c r="Y51" s="930"/>
      <c r="Z51" s="777"/>
      <c r="AA51" s="780"/>
      <c r="AB51" s="780"/>
      <c r="AC51" s="780"/>
      <c r="AD51" s="777"/>
    </row>
    <row r="52" spans="1:30" ht="36" customHeight="1">
      <c r="A52" s="776"/>
      <c r="B52" s="829">
        <v>35</v>
      </c>
      <c r="C52" s="774" t="s">
        <v>2041</v>
      </c>
      <c r="D52" s="897" t="s">
        <v>2041</v>
      </c>
      <c r="E52" s="774" t="s">
        <v>2041</v>
      </c>
      <c r="F52" s="774" t="s">
        <v>2041</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92</v>
      </c>
      <c r="P52" s="887" t="s">
        <v>91</v>
      </c>
      <c r="Q52" s="887" t="s">
        <v>91</v>
      </c>
      <c r="R52" s="887" t="s">
        <v>91</v>
      </c>
      <c r="S52" s="887"/>
      <c r="T52" s="774" t="s">
        <v>2149</v>
      </c>
      <c r="U52" s="774" t="s">
        <v>2150</v>
      </c>
      <c r="V52" s="774" t="s">
        <v>2151</v>
      </c>
      <c r="W52" s="774" t="s">
        <v>2152</v>
      </c>
      <c r="X52" s="774"/>
      <c r="Y52" s="930"/>
      <c r="Z52" s="777" t="s">
        <v>758</v>
      </c>
      <c r="AA52" s="780" t="s">
        <v>758</v>
      </c>
      <c r="AB52" s="780" t="s">
        <v>758</v>
      </c>
      <c r="AC52" s="780" t="s">
        <v>758</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762</v>
      </c>
      <c r="P53" s="887" t="s">
        <v>331</v>
      </c>
      <c r="Q53" s="887" t="s">
        <v>331</v>
      </c>
      <c r="R53" s="887" t="s">
        <v>331</v>
      </c>
      <c r="S53" s="887"/>
      <c r="T53" s="774" t="s">
        <v>2153</v>
      </c>
      <c r="U53" s="774" t="s">
        <v>2153</v>
      </c>
      <c r="V53" s="774" t="s">
        <v>2153</v>
      </c>
      <c r="W53" s="774" t="s">
        <v>2153</v>
      </c>
      <c r="X53" s="774"/>
      <c r="Y53" s="930"/>
      <c r="Z53" s="777"/>
      <c r="AA53" s="780"/>
      <c r="AB53" s="777"/>
      <c r="AC53" s="777"/>
      <c r="AD53" s="777"/>
    </row>
    <row r="54" spans="1:30" ht="18" customHeight="1">
      <c r="A54" s="776"/>
      <c r="B54" s="829">
        <v>37</v>
      </c>
      <c r="C54" s="774" t="s">
        <v>2047</v>
      </c>
      <c r="D54" s="897" t="s">
        <v>2047</v>
      </c>
      <c r="E54" s="774" t="s">
        <v>2047</v>
      </c>
      <c r="F54" s="774" t="s">
        <v>2047</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112</v>
      </c>
      <c r="P54" s="887" t="s">
        <v>92</v>
      </c>
      <c r="Q54" s="887" t="s">
        <v>92</v>
      </c>
      <c r="R54" s="887" t="s">
        <v>92</v>
      </c>
      <c r="S54" s="887"/>
      <c r="T54" s="774" t="s">
        <v>760</v>
      </c>
      <c r="U54" s="774" t="s">
        <v>760</v>
      </c>
      <c r="V54" s="774" t="s">
        <v>760</v>
      </c>
      <c r="W54" s="774" t="s">
        <v>760</v>
      </c>
      <c r="X54" s="774"/>
      <c r="Y54" s="930"/>
      <c r="Z54" s="777" t="s">
        <v>761</v>
      </c>
      <c r="AA54" s="777" t="s">
        <v>761</v>
      </c>
      <c r="AB54" s="777" t="s">
        <v>761</v>
      </c>
      <c r="AC54" s="777" t="s">
        <v>761</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320</v>
      </c>
      <c r="P55" s="887" t="s">
        <v>762</v>
      </c>
      <c r="Q55" s="887" t="s">
        <v>762</v>
      </c>
      <c r="R55" s="887" t="s">
        <v>762</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2154</v>
      </c>
      <c r="V55" s="774" t="s">
        <v>2154</v>
      </c>
      <c r="W55" s="774" t="s">
        <v>2154</v>
      </c>
      <c r="X55" s="774"/>
      <c r="Y55" s="930"/>
      <c r="Z55" s="777" t="s">
        <v>2155</v>
      </c>
      <c r="AA55" s="777" t="s">
        <v>2155</v>
      </c>
      <c r="AB55" s="777" t="s">
        <v>2155</v>
      </c>
      <c r="AC55" s="777" t="s">
        <v>2155</v>
      </c>
      <c r="AD55" s="777"/>
    </row>
    <row r="56" spans="1:30" ht="27" customHeight="1">
      <c r="A56" s="776"/>
      <c r="B56" s="829">
        <v>39</v>
      </c>
      <c r="C56" s="774" t="s">
        <v>1030</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1147</v>
      </c>
      <c r="P56" s="887" t="s">
        <v>765</v>
      </c>
      <c r="Q56" s="887" t="s">
        <v>765</v>
      </c>
      <c r="R56" s="887" t="s">
        <v>765</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2156</v>
      </c>
      <c r="V56" s="774" t="s">
        <v>2156</v>
      </c>
      <c r="W56" s="774" t="s">
        <v>2156</v>
      </c>
      <c r="X56" s="774"/>
      <c r="Y56" s="930"/>
      <c r="Z56" s="777" t="s">
        <v>767</v>
      </c>
      <c r="AA56" s="777" t="s">
        <v>767</v>
      </c>
      <c r="AB56" s="777" t="s">
        <v>767</v>
      </c>
      <c r="AC56" s="777" t="s">
        <v>767</v>
      </c>
      <c r="AD56" s="777"/>
    </row>
    <row r="57" spans="1:30" ht="27" customHeight="1">
      <c r="A57" s="776"/>
      <c r="B57" s="829">
        <v>40</v>
      </c>
      <c r="C57" s="774" t="s">
        <v>1032</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2157</v>
      </c>
      <c r="P57" s="887" t="s">
        <v>768</v>
      </c>
      <c r="Q57" s="887" t="s">
        <v>768</v>
      </c>
      <c r="R57" s="887" t="s">
        <v>768</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2158</v>
      </c>
      <c r="V57" s="774" t="s">
        <v>2158</v>
      </c>
      <c r="W57" s="774" t="s">
        <v>2158</v>
      </c>
      <c r="X57" s="774"/>
      <c r="Y57" s="930"/>
      <c r="Z57" s="777" t="s">
        <v>770</v>
      </c>
      <c r="AA57" s="777" t="s">
        <v>770</v>
      </c>
      <c r="AB57" s="777" t="s">
        <v>770</v>
      </c>
      <c r="AC57" s="777" t="s">
        <v>770</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890</v>
      </c>
      <c r="P58" s="887" t="s">
        <v>804</v>
      </c>
      <c r="Q58" s="887" t="s">
        <v>804</v>
      </c>
      <c r="R58" s="887" t="s">
        <v>804</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2159</v>
      </c>
      <c r="V58" s="774" t="s">
        <v>2159</v>
      </c>
      <c r="W58" s="774" t="s">
        <v>2159</v>
      </c>
      <c r="X58" s="774"/>
      <c r="Y58" s="930"/>
      <c r="Z58" s="777"/>
      <c r="AA58" s="780"/>
      <c r="AB58" s="777"/>
      <c r="AC58" s="777"/>
      <c r="AD58" s="777"/>
    </row>
    <row r="59" spans="1:30" ht="36" customHeight="1">
      <c r="A59" s="776"/>
      <c r="B59" s="829">
        <v>42</v>
      </c>
      <c r="C59" s="774">
        <v>3</v>
      </c>
      <c r="D59" s="897" t="s">
        <v>2147</v>
      </c>
      <c r="E59" s="774" t="s">
        <v>2147</v>
      </c>
      <c r="F59" s="774" t="s">
        <v>2147</v>
      </c>
      <c r="G59" s="774"/>
      <c r="H59" s="821"/>
      <c r="I59" s="935">
        <f t="shared" si="7"/>
        <v>0</v>
      </c>
      <c r="J59" s="935">
        <f t="shared" si="8"/>
        <v>0</v>
      </c>
      <c r="K59" s="935">
        <f t="shared" si="9"/>
        <v>0</v>
      </c>
      <c r="L59" s="775" t="str">
        <f t="shared" si="10"/>
        <v/>
      </c>
      <c r="M59" s="775" t="str">
        <f t="shared" si="11"/>
        <v/>
      </c>
      <c r="N59" s="775" t="str">
        <f t="shared" si="12"/>
        <v/>
      </c>
      <c r="O59" s="887"/>
      <c r="P59" s="887" t="s">
        <v>112</v>
      </c>
      <c r="Q59" s="887" t="s">
        <v>112</v>
      </c>
      <c r="R59" s="887" t="s">
        <v>112</v>
      </c>
      <c r="S59" s="887"/>
      <c r="T59" s="774"/>
      <c r="U59" s="774" t="s">
        <v>2160</v>
      </c>
      <c r="V59" s="774" t="s">
        <v>2161</v>
      </c>
      <c r="W59" s="774" t="s">
        <v>2162</v>
      </c>
      <c r="X59" s="774"/>
      <c r="Y59" s="930"/>
      <c r="Z59" s="777"/>
      <c r="AA59" s="780"/>
      <c r="AB59" s="777"/>
      <c r="AC59" s="777"/>
      <c r="AD59" s="777"/>
    </row>
    <row r="60" spans="1:30" ht="81" customHeight="1">
      <c r="A60" s="776"/>
      <c r="B60" s="829">
        <v>43</v>
      </c>
      <c r="C60" s="774" t="s">
        <v>2163</v>
      </c>
      <c r="D60" s="897" t="s">
        <v>2163</v>
      </c>
      <c r="E60" s="774" t="s">
        <v>2163</v>
      </c>
      <c r="F60" s="774" t="s">
        <v>2163</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93</v>
      </c>
      <c r="P60" s="887" t="s">
        <v>93</v>
      </c>
      <c r="Q60" s="887" t="s">
        <v>93</v>
      </c>
      <c r="R60" s="887" t="s">
        <v>93</v>
      </c>
      <c r="S60" s="887"/>
      <c r="T60" s="774" t="s">
        <v>638</v>
      </c>
      <c r="U60" s="774" t="s">
        <v>638</v>
      </c>
      <c r="V60" s="774" t="s">
        <v>638</v>
      </c>
      <c r="W60" s="774" t="s">
        <v>638</v>
      </c>
      <c r="X60" s="774"/>
      <c r="Y60" s="930"/>
      <c r="Z60" s="777" t="s">
        <v>2164</v>
      </c>
      <c r="AA60" s="780" t="s">
        <v>2165</v>
      </c>
      <c r="AB60" s="777" t="s">
        <v>2166</v>
      </c>
      <c r="AC60" s="777" t="s">
        <v>2165</v>
      </c>
      <c r="AD60" s="777"/>
    </row>
    <row r="61" spans="1:30" ht="9" customHeight="1">
      <c r="A61" s="776"/>
      <c r="B61" s="829">
        <v>44</v>
      </c>
      <c r="C61" s="774"/>
      <c r="D61" s="897" t="s">
        <v>2167</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94</v>
      </c>
      <c r="Q61" s="887"/>
      <c r="R61" s="887"/>
      <c r="S61" s="887"/>
      <c r="T61" s="774"/>
      <c r="U61" s="774" t="s">
        <v>2168</v>
      </c>
      <c r="V61" s="774"/>
      <c r="W61" s="774"/>
      <c r="X61" s="774"/>
      <c r="Y61" s="930"/>
      <c r="Z61" s="777"/>
      <c r="AA61" s="780"/>
      <c r="AB61" s="777"/>
      <c r="AC61" s="777"/>
      <c r="AD61" s="777"/>
    </row>
    <row r="62" spans="1:30" ht="9" customHeight="1">
      <c r="A62" s="776"/>
      <c r="B62" s="829">
        <v>45</v>
      </c>
      <c r="C62" s="774"/>
      <c r="D62" s="897" t="s">
        <v>2169</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113</v>
      </c>
      <c r="Q62" s="887"/>
      <c r="R62" s="887"/>
      <c r="S62" s="887"/>
      <c r="T62" s="774"/>
      <c r="U62" s="774" t="s">
        <v>2170</v>
      </c>
      <c r="V62" s="774"/>
      <c r="W62" s="774"/>
      <c r="X62" s="774"/>
      <c r="Y62" s="930"/>
      <c r="Z62" s="777"/>
      <c r="AA62" s="780"/>
      <c r="AB62" s="777"/>
      <c r="AC62" s="777"/>
      <c r="AD62" s="777"/>
    </row>
    <row r="63" spans="1:30" ht="18" customHeight="1">
      <c r="A63" s="776"/>
      <c r="B63" s="829">
        <v>46</v>
      </c>
      <c r="C63" s="774"/>
      <c r="D63" s="897" t="s">
        <v>2171</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149</v>
      </c>
      <c r="Q63" s="887"/>
      <c r="R63" s="887"/>
      <c r="S63" s="887"/>
      <c r="T63" s="774"/>
      <c r="U63" s="774" t="s">
        <v>2172</v>
      </c>
      <c r="V63" s="774"/>
      <c r="W63" s="774"/>
      <c r="X63" s="774"/>
      <c r="Y63" s="930"/>
      <c r="Z63" s="777"/>
      <c r="AA63" s="780"/>
      <c r="AB63" s="777"/>
      <c r="AC63" s="777"/>
      <c r="AD63" s="777"/>
    </row>
    <row r="64" spans="1:30" ht="18" customHeight="1">
      <c r="A64" s="776"/>
      <c r="B64" s="829">
        <v>47</v>
      </c>
      <c r="C64" s="774"/>
      <c r="D64" s="897" t="s">
        <v>2173</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150</v>
      </c>
      <c r="Q64" s="887"/>
      <c r="R64" s="887"/>
      <c r="S64" s="887"/>
      <c r="T64" s="774"/>
      <c r="U64" s="774" t="s">
        <v>2174</v>
      </c>
      <c r="V64" s="774"/>
      <c r="W64" s="774"/>
      <c r="X64" s="774"/>
      <c r="Y64" s="930"/>
      <c r="Z64" s="777"/>
      <c r="AA64" s="780" t="s">
        <v>2175</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2088</v>
      </c>
      <c r="Q65" s="887"/>
      <c r="R65" s="887"/>
      <c r="S65" s="887"/>
      <c r="T65" s="774"/>
      <c r="U65" s="774" t="s">
        <v>2176</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2092</v>
      </c>
      <c r="Q66" s="887"/>
      <c r="R66" s="887"/>
      <c r="S66" s="887"/>
      <c r="T66" s="774"/>
      <c r="U66" s="774" t="s">
        <v>2177</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2178</v>
      </c>
      <c r="Q67" s="887"/>
      <c r="R67" s="887"/>
      <c r="S67" s="887"/>
      <c r="T67" s="774"/>
      <c r="U67" s="774" t="s">
        <v>2179</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2180</v>
      </c>
      <c r="Q68" s="887"/>
      <c r="R68" s="887"/>
      <c r="S68" s="887"/>
      <c r="T68" s="774"/>
      <c r="U68" s="774" t="s">
        <v>2181</v>
      </c>
      <c r="V68" s="774"/>
      <c r="W68" s="774"/>
      <c r="X68" s="774"/>
      <c r="Y68" s="930"/>
      <c r="Z68" s="777"/>
      <c r="AA68" s="780"/>
      <c r="AB68" s="777"/>
      <c r="AC68" s="777"/>
      <c r="AD68" s="777"/>
    </row>
    <row r="69" spans="1:30" ht="9" customHeight="1">
      <c r="A69" s="776"/>
      <c r="B69" s="829">
        <v>52</v>
      </c>
      <c r="C69" s="774"/>
      <c r="D69" s="897" t="s">
        <v>2182</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151</v>
      </c>
      <c r="Q69" s="887"/>
      <c r="R69" s="887"/>
      <c r="S69" s="887"/>
      <c r="T69" s="774"/>
      <c r="U69" s="774" t="s">
        <v>2183</v>
      </c>
      <c r="V69" s="774"/>
      <c r="W69" s="774"/>
      <c r="X69" s="774"/>
      <c r="Y69" s="930"/>
      <c r="Z69" s="777"/>
      <c r="AA69" s="780"/>
      <c r="AB69" s="777"/>
      <c r="AC69" s="777"/>
      <c r="AD69" s="777"/>
    </row>
    <row r="70" spans="1:30" ht="27" customHeight="1">
      <c r="A70" s="776"/>
      <c r="B70" s="829">
        <v>53</v>
      </c>
      <c r="C70" s="774"/>
      <c r="D70" s="897"/>
      <c r="E70" s="774" t="s">
        <v>2167</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94</v>
      </c>
      <c r="R70" s="887"/>
      <c r="S70" s="887"/>
      <c r="T70" s="774"/>
      <c r="U70" s="774"/>
      <c r="V70" s="774" t="s">
        <v>2184</v>
      </c>
      <c r="W70" s="774"/>
      <c r="X70" s="774"/>
      <c r="Y70" s="930"/>
      <c r="Z70" s="777"/>
      <c r="AA70" s="780"/>
      <c r="AB70" s="777"/>
      <c r="AC70" s="777"/>
      <c r="AD70" s="777"/>
    </row>
    <row r="71" spans="1:30" ht="36" customHeight="1">
      <c r="A71" s="776"/>
      <c r="B71" s="829">
        <v>54</v>
      </c>
      <c r="C71" s="774"/>
      <c r="D71" s="897"/>
      <c r="E71" s="774" t="s">
        <v>2169</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113</v>
      </c>
      <c r="R71" s="887"/>
      <c r="S71" s="887"/>
      <c r="T71" s="774"/>
      <c r="U71" s="774"/>
      <c r="V71" s="774" t="s">
        <v>2185</v>
      </c>
      <c r="W71" s="774"/>
      <c r="X71" s="774"/>
      <c r="Y71" s="930"/>
      <c r="Z71" s="777"/>
      <c r="AA71" s="780"/>
      <c r="AB71" s="777"/>
      <c r="AC71" s="777"/>
      <c r="AD71" s="777"/>
    </row>
    <row r="72" spans="1:30" ht="27" customHeight="1">
      <c r="A72" s="776"/>
      <c r="B72" s="829">
        <v>55</v>
      </c>
      <c r="C72" s="774"/>
      <c r="D72" s="897"/>
      <c r="E72" s="774" t="s">
        <v>2171</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149</v>
      </c>
      <c r="R72" s="887"/>
      <c r="S72" s="887"/>
      <c r="T72" s="774"/>
      <c r="U72" s="774"/>
      <c r="V72" s="774" t="s">
        <v>2186</v>
      </c>
      <c r="W72" s="774"/>
      <c r="X72" s="774"/>
      <c r="Y72" s="930"/>
      <c r="Z72" s="777"/>
      <c r="AA72" s="780"/>
      <c r="AB72" s="777"/>
      <c r="AC72" s="777"/>
      <c r="AD72" s="777"/>
    </row>
    <row r="73" spans="1:30" ht="36" customHeight="1">
      <c r="A73" s="776"/>
      <c r="B73" s="829">
        <v>56</v>
      </c>
      <c r="C73" s="774"/>
      <c r="D73" s="897"/>
      <c r="E73" s="774" t="s">
        <v>2173</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150</v>
      </c>
      <c r="R73" s="887"/>
      <c r="S73" s="887"/>
      <c r="T73" s="774"/>
      <c r="U73" s="774"/>
      <c r="V73" s="774" t="s">
        <v>2187</v>
      </c>
      <c r="W73" s="774"/>
      <c r="X73" s="774"/>
      <c r="Y73" s="930"/>
      <c r="Z73" s="777"/>
      <c r="AA73" s="780"/>
      <c r="AB73" s="777"/>
      <c r="AC73" s="777"/>
      <c r="AD73" s="777"/>
    </row>
    <row r="74" spans="1:30" ht="18" customHeight="1">
      <c r="A74" s="776"/>
      <c r="B74" s="829">
        <v>57</v>
      </c>
      <c r="C74" s="774"/>
      <c r="D74" s="897"/>
      <c r="E74" s="774" t="s">
        <v>2182</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151</v>
      </c>
      <c r="R74" s="887"/>
      <c r="S74" s="887"/>
      <c r="T74" s="774"/>
      <c r="U74" s="774"/>
      <c r="V74" s="774" t="s">
        <v>2188</v>
      </c>
      <c r="W74" s="774"/>
      <c r="X74" s="774"/>
      <c r="Y74" s="930"/>
      <c r="Z74" s="777"/>
      <c r="AA74" s="780"/>
      <c r="AB74" s="777"/>
      <c r="AC74" s="777"/>
      <c r="AD74" s="777"/>
    </row>
    <row r="75" spans="1:30" ht="18" customHeight="1">
      <c r="A75" s="776"/>
      <c r="B75" s="829">
        <v>58</v>
      </c>
      <c r="C75" s="774"/>
      <c r="D75" s="897"/>
      <c r="E75" s="774"/>
      <c r="F75" s="774" t="s">
        <v>2167</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94</v>
      </c>
      <c r="S75" s="887"/>
      <c r="T75" s="774"/>
      <c r="U75" s="774"/>
      <c r="V75" s="774"/>
      <c r="W75" s="774" t="s">
        <v>2189</v>
      </c>
      <c r="X75" s="774"/>
      <c r="Y75" s="930"/>
      <c r="Z75" s="777"/>
      <c r="AA75" s="780"/>
      <c r="AB75" s="777"/>
      <c r="AC75" s="777"/>
      <c r="AD75" s="777"/>
    </row>
    <row r="76" spans="1:30" ht="36" customHeight="1">
      <c r="A76" s="776"/>
      <c r="B76" s="829">
        <v>59</v>
      </c>
      <c r="C76" s="774"/>
      <c r="D76" s="897"/>
      <c r="E76" s="774"/>
      <c r="F76" s="774" t="s">
        <v>2169</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113</v>
      </c>
      <c r="S76" s="887"/>
      <c r="T76" s="774"/>
      <c r="U76" s="774"/>
      <c r="V76" s="774"/>
      <c r="W76" s="774" t="s">
        <v>2190</v>
      </c>
      <c r="X76" s="774"/>
      <c r="Y76" s="930"/>
      <c r="Z76" s="777"/>
      <c r="AA76" s="780"/>
      <c r="AB76" s="777"/>
      <c r="AC76" s="777"/>
      <c r="AD76" s="777"/>
    </row>
    <row r="77" spans="1:30" ht="18" customHeight="1">
      <c r="A77" s="776"/>
      <c r="B77" s="829">
        <v>60</v>
      </c>
      <c r="C77" s="774"/>
      <c r="D77" s="897"/>
      <c r="E77" s="774"/>
      <c r="F77" s="774" t="s">
        <v>2171</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149</v>
      </c>
      <c r="S77" s="887"/>
      <c r="T77" s="774"/>
      <c r="U77" s="774"/>
      <c r="V77" s="774"/>
      <c r="W77" s="774" t="s">
        <v>2191</v>
      </c>
      <c r="X77" s="774"/>
      <c r="Y77" s="930"/>
      <c r="Z77" s="777"/>
      <c r="AA77" s="780"/>
      <c r="AB77" s="777"/>
      <c r="AC77" s="777"/>
      <c r="AD77" s="777"/>
    </row>
    <row r="78" spans="1:30" ht="72" customHeight="1">
      <c r="A78" s="776"/>
      <c r="B78" s="829">
        <v>61</v>
      </c>
      <c r="C78" s="774" t="s">
        <v>2167</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94</v>
      </c>
      <c r="P78" s="887"/>
      <c r="Q78" s="887"/>
      <c r="R78" s="887"/>
      <c r="S78" s="887"/>
      <c r="T78" s="774" t="s">
        <v>643</v>
      </c>
      <c r="U78" s="774"/>
      <c r="V78" s="774"/>
      <c r="W78" s="774"/>
      <c r="X78" s="774"/>
      <c r="Y78" s="930"/>
      <c r="Z78" s="777" t="s">
        <v>2192</v>
      </c>
      <c r="AA78" s="780"/>
      <c r="AB78" s="777"/>
      <c r="AC78" s="777"/>
      <c r="AD78" s="777"/>
    </row>
    <row r="79" spans="1:30" ht="36" customHeight="1">
      <c r="A79" s="776"/>
      <c r="B79" s="829">
        <v>62</v>
      </c>
      <c r="C79" s="774" t="s">
        <v>2169</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113</v>
      </c>
      <c r="P79" s="887"/>
      <c r="Q79" s="887"/>
      <c r="R79" s="887"/>
      <c r="S79" s="887"/>
      <c r="T79" s="774" t="s">
        <v>2193</v>
      </c>
      <c r="U79" s="774"/>
      <c r="V79" s="774"/>
      <c r="W79" s="774"/>
      <c r="X79" s="774"/>
      <c r="Y79" s="930"/>
      <c r="Z79" s="777" t="s">
        <v>2194</v>
      </c>
      <c r="AA79" s="780"/>
      <c r="AB79" s="777"/>
      <c r="AC79" s="777"/>
      <c r="AD79" s="777"/>
    </row>
    <row r="80" spans="1:30" ht="45" customHeight="1">
      <c r="A80" s="776"/>
      <c r="B80" s="829">
        <v>63</v>
      </c>
      <c r="C80" s="774" t="s">
        <v>2171</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149</v>
      </c>
      <c r="P80" s="887"/>
      <c r="Q80" s="887"/>
      <c r="R80" s="887"/>
      <c r="S80" s="887"/>
      <c r="T80" s="774" t="s">
        <v>2195</v>
      </c>
      <c r="U80" s="774"/>
      <c r="V80" s="774"/>
      <c r="W80" s="774"/>
      <c r="X80" s="774"/>
      <c r="Y80" s="930"/>
      <c r="Z80" s="777" t="s">
        <v>2196</v>
      </c>
      <c r="AA80" s="780"/>
      <c r="AB80" s="777"/>
      <c r="AC80" s="777"/>
      <c r="AD80" s="777"/>
    </row>
    <row r="81" spans="1:30" ht="36" customHeight="1">
      <c r="A81" s="776"/>
      <c r="B81" s="829">
        <v>64</v>
      </c>
      <c r="C81" s="774" t="s">
        <v>2173</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2079</v>
      </c>
      <c r="P81" s="887"/>
      <c r="Q81" s="887"/>
      <c r="R81" s="887"/>
      <c r="S81" s="887"/>
      <c r="T81" s="774" t="s">
        <v>2197</v>
      </c>
      <c r="U81" s="774"/>
      <c r="V81" s="774"/>
      <c r="W81" s="774"/>
      <c r="X81" s="774"/>
      <c r="Y81" s="930"/>
      <c r="Z81" s="777" t="s">
        <v>2198</v>
      </c>
      <c r="AA81" s="780"/>
      <c r="AB81" s="777"/>
      <c r="AC81" s="777"/>
      <c r="AD81" s="777"/>
    </row>
    <row r="82" spans="1:30" ht="90" customHeight="1">
      <c r="A82" s="776"/>
      <c r="B82" s="829">
        <v>65</v>
      </c>
      <c r="C82" s="774" t="s">
        <v>2182</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150</v>
      </c>
      <c r="P82" s="887"/>
      <c r="Q82" s="887"/>
      <c r="R82" s="887"/>
      <c r="S82" s="887"/>
      <c r="T82" s="774" t="s">
        <v>2199</v>
      </c>
      <c r="U82" s="774"/>
      <c r="V82" s="774"/>
      <c r="W82" s="774"/>
      <c r="X82" s="774"/>
      <c r="Y82" s="930"/>
      <c r="Z82" s="777" t="s">
        <v>2200</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2088</v>
      </c>
      <c r="P83" s="887"/>
      <c r="Q83" s="887"/>
      <c r="R83" s="887"/>
      <c r="S83" s="887"/>
      <c r="T83" s="774" t="s">
        <v>2201</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2202</v>
      </c>
      <c r="P84" s="887"/>
      <c r="Q84" s="887"/>
      <c r="R84" s="887"/>
      <c r="S84" s="887"/>
      <c r="T84" s="774" t="s">
        <v>2203</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2092</v>
      </c>
      <c r="P85" s="887"/>
      <c r="Q85" s="887"/>
      <c r="R85" s="887"/>
      <c r="S85" s="887"/>
      <c r="T85" s="774" t="s">
        <v>2204</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2205</v>
      </c>
      <c r="P86" s="887"/>
      <c r="Q86" s="887"/>
      <c r="R86" s="887"/>
      <c r="S86" s="887"/>
      <c r="T86" s="774" t="s">
        <v>2206</v>
      </c>
      <c r="U86" s="774"/>
      <c r="V86" s="774"/>
      <c r="W86" s="774"/>
      <c r="X86" s="774"/>
      <c r="Y86" s="930"/>
      <c r="Z86" s="777"/>
      <c r="AA86" s="780"/>
      <c r="AB86" s="777"/>
      <c r="AC86" s="777"/>
      <c r="AD86" s="777"/>
    </row>
    <row r="87" spans="1:30" ht="36" customHeight="1">
      <c r="A87" s="776"/>
      <c r="B87" s="829">
        <v>70</v>
      </c>
      <c r="C87" s="774" t="s">
        <v>2207</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151</v>
      </c>
      <c r="P87" s="887"/>
      <c r="Q87" s="887"/>
      <c r="R87" s="887"/>
      <c r="S87" s="887"/>
      <c r="T87" s="774" t="s">
        <v>2208</v>
      </c>
      <c r="U87" s="774"/>
      <c r="V87" s="774"/>
      <c r="W87" s="774"/>
      <c r="X87" s="774"/>
      <c r="Y87" s="930"/>
      <c r="Z87" s="777"/>
      <c r="AA87" s="780"/>
      <c r="AB87" s="777"/>
      <c r="AC87" s="777"/>
      <c r="AD87" s="777"/>
    </row>
    <row r="88" spans="1:30" ht="18" customHeight="1">
      <c r="A88" s="776"/>
      <c r="B88" s="829">
        <v>71</v>
      </c>
      <c r="C88" s="774" t="s">
        <v>2209</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152</v>
      </c>
      <c r="P88" s="887"/>
      <c r="Q88" s="887"/>
      <c r="R88" s="887"/>
      <c r="S88" s="887"/>
      <c r="T88" s="774" t="s">
        <v>675</v>
      </c>
      <c r="U88" s="774"/>
      <c r="V88" s="774"/>
      <c r="W88" s="774"/>
      <c r="X88" s="774"/>
      <c r="Y88" s="930"/>
      <c r="Z88" s="777"/>
      <c r="AA88" s="780"/>
      <c r="AB88" s="777"/>
      <c r="AC88" s="777"/>
      <c r="AD88" s="777"/>
    </row>
    <row r="89" spans="1:30" ht="18" customHeight="1">
      <c r="A89" s="776"/>
      <c r="B89" s="829">
        <v>72</v>
      </c>
      <c r="C89" s="774" t="s">
        <v>2210</v>
      </c>
      <c r="D89" s="897" t="s">
        <v>2207</v>
      </c>
      <c r="E89" s="774" t="s">
        <v>2207</v>
      </c>
      <c r="F89" s="774" t="s">
        <v>2173</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153</v>
      </c>
      <c r="P89" s="887" t="s">
        <v>152</v>
      </c>
      <c r="Q89" s="887" t="s">
        <v>152</v>
      </c>
      <c r="R89" s="887" t="s">
        <v>150</v>
      </c>
      <c r="S89" s="887"/>
      <c r="T89" s="774" t="s">
        <v>683</v>
      </c>
      <c r="U89" s="774" t="s">
        <v>683</v>
      </c>
      <c r="V89" s="774" t="s">
        <v>683</v>
      </c>
      <c r="W89" s="774" t="s">
        <v>683</v>
      </c>
      <c r="X89" s="774"/>
      <c r="Y89" s="930"/>
      <c r="Z89" s="777"/>
      <c r="AA89" s="780"/>
      <c r="AB89" s="777"/>
      <c r="AC89" s="777"/>
      <c r="AD89" s="777"/>
    </row>
    <row r="90" spans="1:30" ht="27" customHeight="1">
      <c r="A90" s="776"/>
      <c r="B90" s="829">
        <v>73</v>
      </c>
      <c r="C90" s="774" t="s">
        <v>2211</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154</v>
      </c>
      <c r="P90" s="887"/>
      <c r="Q90" s="887"/>
      <c r="R90" s="887"/>
      <c r="S90" s="887"/>
      <c r="T90" s="774" t="s">
        <v>685</v>
      </c>
      <c r="U90" s="774"/>
      <c r="V90" s="774"/>
      <c r="W90" s="774"/>
      <c r="X90" s="774"/>
      <c r="Y90" s="930"/>
      <c r="Z90" s="777"/>
      <c r="AA90" s="780"/>
      <c r="AB90" s="777"/>
      <c r="AC90" s="777"/>
      <c r="AD90" s="777"/>
    </row>
    <row r="91" spans="1:30" ht="18" customHeight="1">
      <c r="A91" s="776"/>
      <c r="B91" s="829">
        <v>74</v>
      </c>
      <c r="C91" s="774"/>
      <c r="D91" s="897" t="s">
        <v>2209</v>
      </c>
      <c r="E91" s="774" t="s">
        <v>2209</v>
      </c>
      <c r="F91" s="774"/>
      <c r="G91" s="774"/>
      <c r="H91" s="821"/>
      <c r="I91" s="935">
        <f t="shared" si="13"/>
        <v>0</v>
      </c>
      <c r="J91" s="935">
        <f t="shared" si="14"/>
        <v>0</v>
      </c>
      <c r="K91" s="935">
        <f t="shared" si="15"/>
        <v>0</v>
      </c>
      <c r="L91" s="775" t="str">
        <f t="shared" si="16"/>
        <v/>
      </c>
      <c r="M91" s="775" t="str">
        <f t="shared" si="17"/>
        <v/>
      </c>
      <c r="N91" s="775" t="str">
        <f t="shared" si="18"/>
        <v/>
      </c>
      <c r="O91" s="887"/>
      <c r="P91" s="887" t="s">
        <v>153</v>
      </c>
      <c r="Q91" s="887" t="s">
        <v>153</v>
      </c>
      <c r="R91" s="887"/>
      <c r="S91" s="887"/>
      <c r="T91" s="774"/>
      <c r="U91" s="774" t="s">
        <v>2212</v>
      </c>
      <c r="V91" s="774" t="s">
        <v>2212</v>
      </c>
      <c r="W91" s="774"/>
      <c r="X91" s="774"/>
      <c r="Y91" s="930"/>
      <c r="Z91" s="777"/>
      <c r="AA91" s="780"/>
      <c r="AB91" s="777"/>
      <c r="AC91" s="777"/>
      <c r="AD91" s="777"/>
    </row>
    <row r="92" spans="1:30" ht="27" customHeight="1">
      <c r="A92" s="776"/>
      <c r="B92" s="829">
        <v>75</v>
      </c>
      <c r="C92" s="774"/>
      <c r="D92" s="897" t="s">
        <v>2210</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154</v>
      </c>
      <c r="Q92" s="887"/>
      <c r="R92" s="887"/>
      <c r="S92" s="887"/>
      <c r="T92" s="774"/>
      <c r="U92" s="774" t="s">
        <v>2213</v>
      </c>
      <c r="V92" s="774"/>
      <c r="W92" s="774"/>
      <c r="X92" s="774"/>
      <c r="Y92" s="930"/>
      <c r="Z92" s="777"/>
      <c r="AA92" s="780" t="s">
        <v>2214</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2120</v>
      </c>
      <c r="Q93" s="887"/>
      <c r="R93" s="887"/>
      <c r="S93" s="887"/>
      <c r="T93" s="774"/>
      <c r="U93" s="774" t="s">
        <v>2215</v>
      </c>
      <c r="V93" s="774"/>
      <c r="W93" s="774"/>
      <c r="X93" s="774"/>
      <c r="Y93" s="930"/>
      <c r="Z93" s="777"/>
      <c r="AA93" s="780" t="s">
        <v>2216</v>
      </c>
      <c r="AB93" s="777"/>
      <c r="AC93" s="777"/>
      <c r="AD93" s="777"/>
    </row>
    <row r="94" spans="1:30" ht="45" customHeight="1">
      <c r="A94" s="776"/>
      <c r="B94" s="829">
        <v>77</v>
      </c>
      <c r="C94" s="774"/>
      <c r="D94" s="897" t="s">
        <v>2211</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1474</v>
      </c>
      <c r="Q94" s="887"/>
      <c r="R94" s="887"/>
      <c r="S94" s="887"/>
      <c r="T94" s="774"/>
      <c r="U94" s="774" t="s">
        <v>2217</v>
      </c>
      <c r="V94" s="774"/>
      <c r="W94" s="774"/>
      <c r="X94" s="774"/>
      <c r="Y94" s="930"/>
      <c r="Z94" s="777"/>
      <c r="AA94" s="780" t="s">
        <v>2218</v>
      </c>
      <c r="AB94" s="777"/>
      <c r="AC94" s="777"/>
      <c r="AD94" s="777"/>
    </row>
    <row r="95" spans="1:30" ht="99" customHeight="1">
      <c r="A95" s="776"/>
      <c r="B95" s="829">
        <v>78</v>
      </c>
      <c r="C95" s="774" t="s">
        <v>2219</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1474</v>
      </c>
      <c r="P95" s="887"/>
      <c r="Q95" s="887"/>
      <c r="R95" s="887"/>
      <c r="S95" s="887"/>
      <c r="T95" s="774" t="s">
        <v>2220</v>
      </c>
      <c r="U95" s="774"/>
      <c r="V95" s="774"/>
      <c r="W95" s="774"/>
      <c r="X95" s="774"/>
      <c r="Y95" s="930"/>
      <c r="Z95" s="777"/>
      <c r="AA95" s="780"/>
      <c r="AB95" s="777"/>
      <c r="AC95" s="777"/>
      <c r="AD95" s="777"/>
    </row>
    <row r="96" spans="1:30" ht="99" customHeight="1">
      <c r="A96" s="776"/>
      <c r="B96" s="829">
        <v>79</v>
      </c>
      <c r="C96" s="774" t="s">
        <v>1156</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1480</v>
      </c>
      <c r="P96" s="887"/>
      <c r="Q96" s="887"/>
      <c r="R96" s="887"/>
      <c r="S96" s="887"/>
      <c r="T96" s="774" t="s">
        <v>2221</v>
      </c>
      <c r="U96" s="774"/>
      <c r="V96" s="774"/>
      <c r="W96" s="774"/>
      <c r="X96" s="774"/>
      <c r="Y96" s="930"/>
      <c r="Z96" s="777" t="s">
        <v>2222</v>
      </c>
      <c r="AA96" s="780"/>
      <c r="AB96" s="777"/>
      <c r="AC96" s="777"/>
      <c r="AD96" s="777"/>
    </row>
    <row r="97" spans="1:30" ht="63" customHeight="1">
      <c r="A97" s="776"/>
      <c r="B97" s="829">
        <v>80</v>
      </c>
      <c r="C97" s="774" t="s">
        <v>2223</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1492</v>
      </c>
      <c r="P97" s="887"/>
      <c r="Q97" s="887"/>
      <c r="R97" s="887"/>
      <c r="S97" s="887"/>
      <c r="T97" s="774" t="s">
        <v>2224</v>
      </c>
      <c r="U97" s="774"/>
      <c r="V97" s="774"/>
      <c r="W97" s="774"/>
      <c r="X97" s="774"/>
      <c r="Y97" s="930"/>
      <c r="Z97" s="777" t="s">
        <v>2225</v>
      </c>
      <c r="AA97" s="780"/>
      <c r="AB97" s="777"/>
      <c r="AC97" s="777"/>
      <c r="AD97" s="777"/>
    </row>
    <row r="98" spans="1:30" ht="63" customHeight="1">
      <c r="A98" s="776"/>
      <c r="B98" s="829">
        <v>81</v>
      </c>
      <c r="C98" s="774" t="s">
        <v>2226</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1506</v>
      </c>
      <c r="P98" s="887"/>
      <c r="Q98" s="887"/>
      <c r="R98" s="887"/>
      <c r="S98" s="887"/>
      <c r="T98" s="774" t="s">
        <v>2227</v>
      </c>
      <c r="U98" s="774"/>
      <c r="V98" s="774"/>
      <c r="W98" s="774"/>
      <c r="X98" s="774"/>
      <c r="Y98" s="930"/>
      <c r="Z98" s="777" t="s">
        <v>2225</v>
      </c>
      <c r="AA98" s="780"/>
      <c r="AB98" s="777"/>
      <c r="AC98" s="777"/>
      <c r="AD98" s="777"/>
    </row>
    <row r="99" spans="1:30" ht="90" customHeight="1">
      <c r="A99" s="776"/>
      <c r="B99" s="829">
        <v>82</v>
      </c>
      <c r="C99" s="774" t="s">
        <v>2228</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1518</v>
      </c>
      <c r="P99" s="887"/>
      <c r="Q99" s="887"/>
      <c r="R99" s="887"/>
      <c r="S99" s="887"/>
      <c r="T99" s="774" t="s">
        <v>2229</v>
      </c>
      <c r="U99" s="774"/>
      <c r="V99" s="774"/>
      <c r="W99" s="774"/>
      <c r="X99" s="774"/>
      <c r="Y99" s="930"/>
      <c r="Z99" s="777" t="s">
        <v>640</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2230</v>
      </c>
      <c r="P100" s="887"/>
      <c r="Q100" s="887"/>
      <c r="R100" s="887"/>
      <c r="S100" s="887"/>
      <c r="T100" s="774" t="s">
        <v>2231</v>
      </c>
      <c r="U100" s="774"/>
      <c r="V100" s="774"/>
      <c r="W100" s="774"/>
      <c r="X100" s="774"/>
      <c r="Y100" s="930"/>
      <c r="Z100" s="777" t="s">
        <v>640</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2232</v>
      </c>
      <c r="P101" s="887"/>
      <c r="Q101" s="887"/>
      <c r="R101" s="887"/>
      <c r="S101" s="887"/>
      <c r="T101" s="774" t="s">
        <v>2233</v>
      </c>
      <c r="U101" s="774"/>
      <c r="V101" s="774"/>
      <c r="W101" s="774"/>
      <c r="X101" s="774"/>
      <c r="Y101" s="930"/>
      <c r="Z101" s="777" t="s">
        <v>640</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1671</v>
      </c>
      <c r="B148" s="776"/>
      <c r="C148" s="774" t="s">
        <v>2234</v>
      </c>
      <c r="D148" s="774" t="s">
        <v>1574</v>
      </c>
      <c r="E148" s="774" t="s">
        <v>1673</v>
      </c>
      <c r="F148" s="774" t="s">
        <v>2235</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2236</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2237</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1675</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1678</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1682</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8AB1A-846F-5F04-5FF4-C583AFB5146B}">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8" customWidth="1"/>
    <col min="10" max="11" width="3" style="282" customWidth="1"/>
    <col min="12" max="12" width="12" style="2009"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753" t="s">
        <v>2238</v>
      </c>
      <c r="M5" s="2753"/>
      <c r="N5" s="2753"/>
      <c r="O5" s="2753"/>
      <c r="P5" s="2753"/>
      <c r="Q5" s="2753"/>
      <c r="R5" s="2753"/>
      <c r="S5" s="2753"/>
      <c r="T5" s="2753"/>
      <c r="U5" s="2753"/>
      <c r="V5" s="1170"/>
      <c r="AD5" s="1082">
        <v>64</v>
      </c>
    </row>
    <row r="6" spans="1:30" ht="14.65" customHeight="1">
      <c r="J6" s="313"/>
      <c r="K6" s="313"/>
      <c r="L6" s="2754" t="str">
        <f>IF(org=0,"Не определено",org)</f>
        <v>МУП "Городские тепловые сети" МО  "город Курчатов"</v>
      </c>
      <c r="M6" s="2754"/>
      <c r="N6" s="2754"/>
      <c r="O6" s="2754"/>
      <c r="P6" s="2754"/>
      <c r="Q6" s="2754"/>
      <c r="R6" s="2754"/>
      <c r="S6" s="2754"/>
      <c r="T6" s="2754"/>
      <c r="U6" s="2754"/>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461" t="str">
        <f>IF(TITLE_NAME_OR_PR_CHANGE="",IF(TITLE_NAME_OR_PR="","",TITLE_NAME_OR_PR),TITLE_NAME_OR_PR_CHANGE)</f>
        <v/>
      </c>
      <c r="P8" s="2461"/>
      <c r="Q8" s="2461"/>
      <c r="R8" s="2461"/>
      <c r="S8" s="2461"/>
      <c r="T8" s="2461"/>
      <c r="U8" s="2461"/>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427</v>
      </c>
      <c r="N9" s="242"/>
      <c r="O9" s="2461">
        <f>IF(TITLE_DATE_CHANGE_PERIOD="",IF(TITLE_DATE_PR="","",TITLE_DATE_PR),TITLE_DATE_CHANGE_PERIOD)</f>
        <v>46023</v>
      </c>
      <c r="P9" s="2461"/>
      <c r="Q9" s="2461"/>
      <c r="R9" s="2461"/>
      <c r="S9" s="2461"/>
      <c r="T9" s="2461"/>
      <c r="U9" s="2461"/>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428</v>
      </c>
      <c r="N10" s="242"/>
      <c r="O10" s="2461" t="str">
        <f>IF(TITLE_NUMBER_PR_CHANGE="",IF(TITLE_NUMBER_PR="","",TITLE_NUMBER_PR),TITLE_NUMBER_PR_CHANGE)</f>
        <v>03.5-1382</v>
      </c>
      <c r="P10" s="2461"/>
      <c r="Q10" s="2461"/>
      <c r="R10" s="2461"/>
      <c r="S10" s="2461"/>
      <c r="T10" s="2461"/>
      <c r="U10" s="2461"/>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43</v>
      </c>
      <c r="N11" s="242"/>
      <c r="O11" s="2461" t="str">
        <f>IF(TITLE_IST_PUB_CHANGE="",IF(TITLE_IST_PUB="","",TITLE_IST_PUB),TITLE_IST_PUB_CHANGE)</f>
        <v/>
      </c>
      <c r="P11" s="2461"/>
      <c r="Q11" s="2461"/>
      <c r="R11" s="2461"/>
      <c r="S11" s="2461"/>
      <c r="T11" s="2461"/>
      <c r="U11" s="2461"/>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752"/>
      <c r="M12" s="2752"/>
      <c r="N12" s="1214"/>
      <c r="O12" s="264"/>
      <c r="P12" s="264"/>
      <c r="Q12" s="264"/>
      <c r="R12" s="264"/>
      <c r="S12" s="264"/>
      <c r="T12" s="264"/>
      <c r="U12" s="264"/>
      <c r="V12" s="216" t="s">
        <v>431</v>
      </c>
      <c r="Y12" s="305"/>
      <c r="Z12" s="305"/>
      <c r="AA12" s="305"/>
      <c r="AB12" s="305"/>
      <c r="AC12" s="305"/>
      <c r="AD12" s="355">
        <v>0</v>
      </c>
    </row>
    <row r="13" spans="1:30" ht="14.65" customHeight="1">
      <c r="J13" s="313"/>
      <c r="K13" s="313"/>
      <c r="L13" s="1202"/>
      <c r="M13" s="300"/>
      <c r="N13" s="1171"/>
      <c r="O13" s="2480"/>
      <c r="P13" s="2480"/>
      <c r="Q13" s="2480"/>
      <c r="R13" s="2480"/>
      <c r="S13" s="2480"/>
      <c r="T13" s="2480"/>
      <c r="U13" s="2480"/>
      <c r="V13" s="2480"/>
      <c r="AD13" s="1082">
        <v>14</v>
      </c>
    </row>
    <row r="14" spans="1:30" ht="14.65" customHeight="1">
      <c r="J14" s="313"/>
      <c r="K14" s="313"/>
      <c r="L14" s="2332" t="s">
        <v>307</v>
      </c>
      <c r="M14" s="2332"/>
      <c r="N14" s="2332"/>
      <c r="O14" s="2332"/>
      <c r="P14" s="2332"/>
      <c r="Q14" s="2332"/>
      <c r="R14" s="2332"/>
      <c r="S14" s="2332"/>
      <c r="T14" s="2332"/>
      <c r="U14" s="2332"/>
      <c r="V14" s="2332"/>
      <c r="W14" s="2332"/>
      <c r="X14" s="2332" t="s">
        <v>308</v>
      </c>
      <c r="AD14" s="1082">
        <v>14</v>
      </c>
    </row>
    <row r="15" spans="1:30" ht="14.65" customHeight="1">
      <c r="J15" s="313"/>
      <c r="K15" s="313"/>
      <c r="L15" s="2481" t="s">
        <v>89</v>
      </c>
      <c r="M15" s="2429" t="s">
        <v>432</v>
      </c>
      <c r="N15" s="239"/>
      <c r="O15" s="2482" t="s">
        <v>2239</v>
      </c>
      <c r="P15" s="2483"/>
      <c r="Q15" s="2483"/>
      <c r="R15" s="2483"/>
      <c r="S15" s="2483"/>
      <c r="T15" s="2483"/>
      <c r="U15" s="2484"/>
      <c r="V15" s="2485" t="s">
        <v>434</v>
      </c>
      <c r="W15" s="2488" t="s">
        <v>1153</v>
      </c>
      <c r="X15" s="2332"/>
      <c r="AD15" s="1082">
        <v>14</v>
      </c>
    </row>
    <row r="16" spans="1:30" ht="35.65" customHeight="1">
      <c r="J16" s="313"/>
      <c r="K16" s="313"/>
      <c r="L16" s="2481"/>
      <c r="M16" s="2429"/>
      <c r="N16" s="961"/>
      <c r="O16" s="2401" t="s">
        <v>437</v>
      </c>
      <c r="P16" s="2401" t="s">
        <v>438</v>
      </c>
      <c r="Q16" s="2314" t="s">
        <v>439</v>
      </c>
      <c r="R16" s="2313"/>
      <c r="S16" s="2314" t="s">
        <v>453</v>
      </c>
      <c r="T16" s="2319"/>
      <c r="U16" s="2313"/>
      <c r="V16" s="2486"/>
      <c r="W16" s="2489"/>
      <c r="X16" s="2332"/>
      <c r="AD16" s="1082">
        <v>34</v>
      </c>
    </row>
    <row r="17" spans="1:30" ht="35.65" customHeight="1">
      <c r="A17" s="1297" t="s">
        <v>135</v>
      </c>
      <c r="B17" s="1297" t="s">
        <v>136</v>
      </c>
      <c r="C17" s="1297" t="s">
        <v>137</v>
      </c>
      <c r="D17" s="1297" t="s">
        <v>138</v>
      </c>
      <c r="E17" s="1297"/>
      <c r="J17" s="313"/>
      <c r="K17" s="313"/>
      <c r="L17" s="2481"/>
      <c r="M17" s="2429"/>
      <c r="N17" s="240"/>
      <c r="O17" s="2454"/>
      <c r="P17" s="2454"/>
      <c r="Q17" s="1149" t="s">
        <v>448</v>
      </c>
      <c r="R17" s="1149" t="s">
        <v>449</v>
      </c>
      <c r="S17" s="1219" t="s">
        <v>450</v>
      </c>
      <c r="T17" s="2434" t="s">
        <v>451</v>
      </c>
      <c r="U17" s="2448"/>
      <c r="V17" s="2487"/>
      <c r="W17" s="2490"/>
      <c r="X17" s="2332"/>
      <c r="AD17" s="1082">
        <v>34</v>
      </c>
    </row>
    <row r="18" spans="1:30" s="1568" customFormat="1" ht="11.45" customHeight="1">
      <c r="A18" s="1297"/>
      <c r="B18" s="1297"/>
      <c r="C18" s="1297"/>
      <c r="D18" s="1297"/>
      <c r="E18" s="1297"/>
      <c r="F18" s="1289"/>
      <c r="G18" s="1289"/>
      <c r="H18" s="1289"/>
      <c r="I18" s="1173"/>
      <c r="J18" s="1174"/>
      <c r="K18" s="1181">
        <v>1</v>
      </c>
      <c r="L18" s="1204" t="s">
        <v>110</v>
      </c>
      <c r="M18" s="1182" t="s">
        <v>111</v>
      </c>
      <c r="N18" s="1172" t="str">
        <f ca="1">OFFSET(N18,0,-1)</f>
        <v>2</v>
      </c>
      <c r="O18" s="1216">
        <f ca="1">OFFSET(O18,0,-1)+1</f>
        <v>3</v>
      </c>
      <c r="P18" s="1216"/>
      <c r="Q18" s="1216">
        <f ca="1">OFFSET(Q18,0,-1)+1</f>
        <v>1</v>
      </c>
      <c r="R18" s="1216">
        <f ca="1">OFFSET(R18,0,-1)+1</f>
        <v>2</v>
      </c>
      <c r="S18" s="1216">
        <f ca="1">OFFSET(S18,0,-1)+1</f>
        <v>3</v>
      </c>
      <c r="T18" s="2479">
        <f ca="1">OFFSET(T18,0,-1)+1</f>
        <v>4</v>
      </c>
      <c r="U18" s="2479"/>
      <c r="V18" s="1216">
        <f ca="1">OFFSET(V18,0,-2)+1</f>
        <v>5</v>
      </c>
      <c r="W18" s="1172">
        <f ca="1">OFFSET(W18,0,-1)</f>
        <v>5</v>
      </c>
      <c r="X18" s="1216">
        <f ca="1">OFFSET(X18,0,-1)+1</f>
        <v>6</v>
      </c>
      <c r="Y18" s="448"/>
      <c r="Z18" s="448"/>
      <c r="AA18" s="448"/>
      <c r="AB18" s="448"/>
      <c r="AC18" s="448"/>
      <c r="AD18" s="433">
        <v>11</v>
      </c>
    </row>
    <row r="19" spans="1:30" ht="21" customHeight="1">
      <c r="A19" s="1290" t="s">
        <v>175</v>
      </c>
      <c r="B19" s="1290" t="s">
        <v>176</v>
      </c>
      <c r="C19" s="1290" t="s">
        <v>177</v>
      </c>
      <c r="D19" s="1290" t="s">
        <v>178</v>
      </c>
      <c r="E19" s="1290"/>
      <c r="F19" s="1292"/>
      <c r="G19" s="1292"/>
      <c r="H19" s="1292"/>
      <c r="I19" s="298"/>
      <c r="J19" s="297"/>
      <c r="K19" s="292"/>
      <c r="L19" s="1220">
        <f>INDEX(PT_DIFFERENTIATION_NUM_NTAR,MATCH(A19,PT_DIFFERENTIATION_NTAR_ID,0))</f>
        <v>0</v>
      </c>
      <c r="M19" s="236" t="s">
        <v>124</v>
      </c>
      <c r="N19" s="238"/>
      <c r="O19" s="2751" t="str">
        <f>INDEX(PT_DIFFERENTIATION_NTAR,MATCH(A19,PT_DIFFERENTIATION_NTAR_ID,0))</f>
        <v/>
      </c>
      <c r="P19" s="2751"/>
      <c r="Q19" s="2751"/>
      <c r="R19" s="2751"/>
      <c r="S19" s="2751"/>
      <c r="T19" s="2751"/>
      <c r="U19" s="2751"/>
      <c r="V19" s="2751"/>
      <c r="W19" s="2751"/>
      <c r="X19" s="1185" t="s">
        <v>403</v>
      </c>
      <c r="Z19" s="437"/>
      <c r="AA19" s="437" t="str">
        <f t="shared" ref="AA19:AA32" si="0">IF(M19="","",M19)</f>
        <v>Наименование тарифа</v>
      </c>
      <c r="AB19" s="437"/>
      <c r="AC19" s="437"/>
      <c r="AD19" s="1082">
        <v>20</v>
      </c>
    </row>
    <row r="20" spans="1:30" ht="21" customHeight="1">
      <c r="A20" s="1290" t="s">
        <v>175</v>
      </c>
      <c r="B20" s="1290" t="s">
        <v>176</v>
      </c>
      <c r="C20" s="1290" t="s">
        <v>177</v>
      </c>
      <c r="D20" s="1290" t="s">
        <v>178</v>
      </c>
      <c r="E20" s="1290"/>
      <c r="F20" s="1292"/>
      <c r="G20" s="1292"/>
      <c r="H20" s="1292"/>
      <c r="I20" s="1217"/>
      <c r="J20" s="289"/>
      <c r="K20" s="290"/>
      <c r="L20" s="1220" t="str">
        <f>INDEX(PT_DIFFERENTIATION_NUM_TER,MATCH(B19,PT_DIFFERENTIATION_TER_ID,0))</f>
        <v>.</v>
      </c>
      <c r="M20" s="246" t="s">
        <v>404</v>
      </c>
      <c r="N20" s="238"/>
      <c r="O20" s="2751" t="str">
        <f>INDEX(PT_DIFFERENTIATION_TER,MATCH(B19,PT_DIFFERENTIATION_TER_ID,0))</f>
        <v/>
      </c>
      <c r="P20" s="2751"/>
      <c r="Q20" s="2751"/>
      <c r="R20" s="2751"/>
      <c r="S20" s="2751"/>
      <c r="T20" s="2751"/>
      <c r="U20" s="2751"/>
      <c r="V20" s="2751"/>
      <c r="W20" s="2751"/>
      <c r="X20" s="1185" t="s">
        <v>405</v>
      </c>
      <c r="Z20" s="437"/>
      <c r="AA20" s="437" t="str">
        <f t="shared" si="0"/>
        <v>Территория действия тарифа</v>
      </c>
      <c r="AB20" s="437"/>
      <c r="AC20" s="437"/>
      <c r="AD20" s="1082">
        <v>20</v>
      </c>
    </row>
    <row r="21" spans="1:30" ht="24" customHeight="1">
      <c r="A21" s="1290" t="s">
        <v>175</v>
      </c>
      <c r="B21" s="1290" t="s">
        <v>176</v>
      </c>
      <c r="C21" s="1290" t="s">
        <v>177</v>
      </c>
      <c r="D21" s="1290" t="s">
        <v>178</v>
      </c>
      <c r="E21" s="1290"/>
      <c r="F21" s="1292"/>
      <c r="G21" s="1292"/>
      <c r="H21" s="1292"/>
      <c r="I21" s="291"/>
      <c r="J21" s="289"/>
      <c r="K21" s="290"/>
      <c r="L21" s="1220" t="str">
        <f>INDEX(PT_DIFFERENTIATION_NUM_CS,MATCH(C19,PT_DIFFERENTIATION_CS_ID,0))</f>
        <v>..</v>
      </c>
      <c r="M21" s="247" t="s">
        <v>406</v>
      </c>
      <c r="N21" s="238"/>
      <c r="O21" s="2751" t="str">
        <f>INDEX(PT_DIFFERENTIATION_CS,MATCH(C19,PT_DIFFERENTIATION_CS_ID,0))</f>
        <v/>
      </c>
      <c r="P21" s="2751"/>
      <c r="Q21" s="2751"/>
      <c r="R21" s="2751"/>
      <c r="S21" s="2751"/>
      <c r="T21" s="2751"/>
      <c r="U21" s="2751"/>
      <c r="V21" s="2751"/>
      <c r="W21" s="2751"/>
      <c r="X21" s="1185" t="s">
        <v>407</v>
      </c>
      <c r="Z21" s="437"/>
      <c r="AA21" s="437" t="str">
        <f t="shared" si="0"/>
        <v xml:space="preserve">Наименование системы теплоснабжения </v>
      </c>
      <c r="AB21" s="437"/>
      <c r="AC21" s="437"/>
      <c r="AD21" s="1082">
        <v>23</v>
      </c>
    </row>
    <row r="22" spans="1:30" ht="21" customHeight="1">
      <c r="A22" s="1290" t="s">
        <v>175</v>
      </c>
      <c r="B22" s="1290" t="s">
        <v>176</v>
      </c>
      <c r="C22" s="1290" t="s">
        <v>177</v>
      </c>
      <c r="D22" s="1290" t="s">
        <v>178</v>
      </c>
      <c r="E22" s="1290"/>
      <c r="F22" s="1292"/>
      <c r="G22" s="1292"/>
      <c r="H22" s="1292"/>
      <c r="I22" s="291"/>
      <c r="J22" s="289"/>
      <c r="K22" s="290"/>
      <c r="L22" s="1220" t="str">
        <f>INDEX(PT_DIFFERENTIATION_NUM_IST_TE,MATCH(D19,PT_DIFFERENTIATION_IST_TE_ID,0))</f>
        <v>...</v>
      </c>
      <c r="M22" s="248" t="s">
        <v>408</v>
      </c>
      <c r="N22" s="238"/>
      <c r="O22" s="2751" t="str">
        <f>INDEX(PT_DIFFERENTIATION_IST_TE,MATCH(D19,PT_DIFFERENTIATION_IST_TE_ID,0))</f>
        <v/>
      </c>
      <c r="P22" s="2751"/>
      <c r="Q22" s="2751"/>
      <c r="R22" s="2751"/>
      <c r="S22" s="2751"/>
      <c r="T22" s="2751"/>
      <c r="U22" s="2751"/>
      <c r="V22" s="2751"/>
      <c r="W22" s="2751"/>
      <c r="X22" s="1185" t="s">
        <v>409</v>
      </c>
      <c r="Z22" s="437"/>
      <c r="AA22" s="437" t="str">
        <f t="shared" si="0"/>
        <v xml:space="preserve">Источник тепловой энергии  </v>
      </c>
      <c r="AB22" s="437"/>
      <c r="AC22" s="437"/>
      <c r="AD22" s="1082">
        <v>20</v>
      </c>
    </row>
    <row r="23" spans="1:30" ht="96.75" customHeight="1">
      <c r="A23" s="1290" t="s">
        <v>175</v>
      </c>
      <c r="B23" s="1290" t="s">
        <v>176</v>
      </c>
      <c r="C23" s="1290" t="s">
        <v>177</v>
      </c>
      <c r="D23" s="1290" t="s">
        <v>178</v>
      </c>
      <c r="E23" s="1290"/>
      <c r="F23" s="2446" t="str">
        <f>L22&amp;".1"</f>
        <v>....1</v>
      </c>
      <c r="I23" s="2472">
        <v>1</v>
      </c>
      <c r="J23" s="1218"/>
      <c r="K23" s="293"/>
      <c r="L23" s="1220" t="str">
        <f>$F$23</f>
        <v>....1</v>
      </c>
      <c r="M23" s="223" t="s">
        <v>411</v>
      </c>
      <c r="N23" s="238"/>
      <c r="O23" s="2512"/>
      <c r="P23" s="2512"/>
      <c r="Q23" s="2512"/>
      <c r="R23" s="2512"/>
      <c r="S23" s="2512"/>
      <c r="T23" s="2512"/>
      <c r="U23" s="2512"/>
      <c r="V23" s="2512"/>
      <c r="W23" s="2512"/>
      <c r="X23" s="1185" t="s">
        <v>412</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175</v>
      </c>
      <c r="B24" s="1290" t="s">
        <v>176</v>
      </c>
      <c r="C24" s="1290" t="s">
        <v>177</v>
      </c>
      <c r="D24" s="1290" t="s">
        <v>178</v>
      </c>
      <c r="E24" s="1290"/>
      <c r="F24" s="2446"/>
      <c r="G24" s="2446" t="str">
        <f>F23&amp;".1"</f>
        <v>....1.1</v>
      </c>
      <c r="I24" s="2472"/>
      <c r="J24" s="2472">
        <v>1</v>
      </c>
      <c r="K24" s="294"/>
      <c r="L24" s="1220" t="str">
        <f>$G$24</f>
        <v>....1.1</v>
      </c>
      <c r="M24" s="224" t="s">
        <v>414</v>
      </c>
      <c r="N24" s="238"/>
      <c r="O24" s="2456"/>
      <c r="P24" s="2457"/>
      <c r="Q24" s="2457"/>
      <c r="R24" s="2457"/>
      <c r="S24" s="2457"/>
      <c r="T24" s="2457"/>
      <c r="U24" s="2457"/>
      <c r="V24" s="2457"/>
      <c r="W24" s="2458"/>
      <c r="X24" s="1185" t="s">
        <v>415</v>
      </c>
      <c r="Z24" s="437"/>
      <c r="AA24" s="437" t="str">
        <f t="shared" si="0"/>
        <v>Группа потребителей</v>
      </c>
      <c r="AB24" s="437"/>
      <c r="AC24" s="437"/>
      <c r="AD24" s="1082">
        <v>82</v>
      </c>
    </row>
    <row r="25" spans="1:30" ht="11.45" customHeight="1">
      <c r="A25" s="1290" t="s">
        <v>175</v>
      </c>
      <c r="B25" s="1290" t="s">
        <v>176</v>
      </c>
      <c r="C25" s="1290" t="s">
        <v>177</v>
      </c>
      <c r="D25" s="1290" t="s">
        <v>178</v>
      </c>
      <c r="E25" s="1290"/>
      <c r="F25" s="2446"/>
      <c r="G25" s="2446"/>
      <c r="H25" s="2446" t="str">
        <f>G24&amp;".1"</f>
        <v>....1.1.1</v>
      </c>
      <c r="I25" s="2472"/>
      <c r="J25" s="2472"/>
      <c r="K25" s="294">
        <v>1</v>
      </c>
      <c r="L25" s="1220" t="str">
        <f>$H$25</f>
        <v>....1.1.1</v>
      </c>
      <c r="M25" s="1274"/>
      <c r="N25" s="238"/>
      <c r="O25" s="688"/>
      <c r="P25" s="263"/>
      <c r="Q25" s="688"/>
      <c r="R25" s="1184"/>
      <c r="S25" s="2473"/>
      <c r="T25" s="2342" t="s">
        <v>67</v>
      </c>
      <c r="U25" s="2473"/>
      <c r="V25" s="2342" t="s">
        <v>19</v>
      </c>
      <c r="W25" s="263"/>
      <c r="X25" s="2491" t="s">
        <v>417</v>
      </c>
      <c r="Y25" s="448" t="e">
        <f ca="1">STRCHECKDATE(O26:W26)</f>
        <v>#NAME?</v>
      </c>
      <c r="Z25" s="437"/>
      <c r="AA25" s="437" t="str">
        <f t="shared" si="0"/>
        <v/>
      </c>
      <c r="AB25" s="437"/>
      <c r="AC25" s="437"/>
      <c r="AD25" s="1082">
        <v>11</v>
      </c>
    </row>
    <row r="26" spans="1:30" ht="11.45" customHeight="1">
      <c r="A26" s="1290" t="s">
        <v>175</v>
      </c>
      <c r="B26" s="1290" t="s">
        <v>176</v>
      </c>
      <c r="C26" s="1290" t="s">
        <v>177</v>
      </c>
      <c r="D26" s="1290" t="s">
        <v>178</v>
      </c>
      <c r="E26" s="1290"/>
      <c r="F26" s="2446"/>
      <c r="G26" s="2446"/>
      <c r="H26" s="2446"/>
      <c r="I26" s="2472"/>
      <c r="J26" s="2472"/>
      <c r="K26" s="294"/>
      <c r="L26" s="1221"/>
      <c r="M26" s="238"/>
      <c r="N26" s="238"/>
      <c r="O26" s="263"/>
      <c r="P26" s="263"/>
      <c r="Q26" s="263"/>
      <c r="R26" s="266" t="str">
        <f>S25&amp;"-"&amp;U25</f>
        <v>-</v>
      </c>
      <c r="S26" s="2474"/>
      <c r="T26" s="2342"/>
      <c r="U26" s="2474"/>
      <c r="V26" s="2342"/>
      <c r="W26" s="263"/>
      <c r="X26" s="2492"/>
      <c r="Z26" s="437"/>
      <c r="AA26" s="437" t="str">
        <f t="shared" si="0"/>
        <v/>
      </c>
      <c r="AB26" s="437"/>
      <c r="AC26" s="437"/>
      <c r="AD26" s="1082">
        <v>11</v>
      </c>
    </row>
    <row r="27" spans="1:30" ht="15.75" customHeight="1">
      <c r="A27" s="1290" t="s">
        <v>175</v>
      </c>
      <c r="B27" s="1290" t="s">
        <v>176</v>
      </c>
      <c r="C27" s="1290" t="s">
        <v>177</v>
      </c>
      <c r="D27" s="1290" t="s">
        <v>178</v>
      </c>
      <c r="E27" s="1290"/>
      <c r="F27" s="2446"/>
      <c r="G27" s="2446"/>
      <c r="I27" s="2472"/>
      <c r="J27" s="2472"/>
      <c r="K27" s="293"/>
      <c r="L27" s="1205"/>
      <c r="M27" s="226" t="s">
        <v>418</v>
      </c>
      <c r="N27" s="304"/>
      <c r="O27" s="304"/>
      <c r="P27" s="304"/>
      <c r="Q27" s="304"/>
      <c r="R27" s="304"/>
      <c r="S27" s="304"/>
      <c r="T27" s="304"/>
      <c r="U27" s="304"/>
      <c r="V27" s="304"/>
      <c r="W27" s="262"/>
      <c r="X27" s="2493"/>
      <c r="Z27" s="437"/>
      <c r="AA27" s="437" t="str">
        <f t="shared" si="0"/>
        <v>Добавить вид теплоносителя (параметры теплоносителя)</v>
      </c>
      <c r="AB27" s="437"/>
      <c r="AC27" s="437"/>
      <c r="AD27" s="1082">
        <v>15</v>
      </c>
    </row>
    <row r="28" spans="1:30" ht="15.75" customHeight="1">
      <c r="A28" s="1290" t="s">
        <v>175</v>
      </c>
      <c r="B28" s="1290" t="s">
        <v>176</v>
      </c>
      <c r="C28" s="1290" t="s">
        <v>177</v>
      </c>
      <c r="D28" s="1290" t="s">
        <v>178</v>
      </c>
      <c r="E28" s="1290"/>
      <c r="F28" s="2446"/>
      <c r="I28" s="2472"/>
      <c r="J28" s="1218"/>
      <c r="K28" s="293"/>
      <c r="L28" s="1205"/>
      <c r="M28" s="225" t="s">
        <v>419</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175</v>
      </c>
      <c r="B29" s="1290" t="s">
        <v>176</v>
      </c>
      <c r="C29" s="1290" t="s">
        <v>177</v>
      </c>
      <c r="D29" s="1290" t="s">
        <v>178</v>
      </c>
      <c r="E29" s="1290"/>
      <c r="F29" s="1292"/>
      <c r="G29" s="1292"/>
      <c r="H29" s="474"/>
      <c r="I29" s="297"/>
      <c r="J29" s="312"/>
      <c r="K29" s="292"/>
      <c r="L29" s="1205"/>
      <c r="M29" s="302" t="s">
        <v>420</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175</v>
      </c>
      <c r="B30" s="1290" t="s">
        <v>176</v>
      </c>
      <c r="C30" s="1290" t="s">
        <v>177</v>
      </c>
      <c r="D30" s="1290"/>
      <c r="E30" s="1290" t="s">
        <v>595</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175</v>
      </c>
      <c r="B31" s="1290" t="s">
        <v>176</v>
      </c>
      <c r="C31" s="1290"/>
      <c r="D31" s="1290"/>
      <c r="E31" s="1290" t="s">
        <v>2240</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2241</v>
      </c>
      <c r="B32" s="1290"/>
      <c r="C32" s="1290"/>
      <c r="D32" s="1290"/>
      <c r="E32" s="1290" t="s">
        <v>105</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172</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812</v>
      </c>
      <c r="M35" s="2467" t="s">
        <v>2242</v>
      </c>
      <c r="N35" s="2467"/>
      <c r="O35" s="2467"/>
      <c r="P35" s="2467"/>
      <c r="Q35" s="2467"/>
      <c r="R35" s="2467"/>
      <c r="S35" s="2467"/>
      <c r="T35" s="2467"/>
      <c r="U35" s="2467"/>
      <c r="V35" s="2467"/>
      <c r="W35" s="2467"/>
      <c r="X35" s="2467"/>
      <c r="AD35" s="1082">
        <v>27</v>
      </c>
    </row>
    <row r="36" spans="1:30" ht="109.15" customHeight="1">
      <c r="H36" s="474"/>
      <c r="I36" s="1230"/>
      <c r="M36" s="2467" t="s">
        <v>2243</v>
      </c>
      <c r="N36" s="2467"/>
      <c r="O36" s="2467"/>
      <c r="P36" s="2467"/>
      <c r="Q36" s="2467"/>
      <c r="R36" s="2467"/>
      <c r="S36" s="2467"/>
      <c r="T36" s="2467"/>
      <c r="U36" s="2467"/>
      <c r="V36" s="2467"/>
      <c r="W36" s="2467"/>
      <c r="X36" s="2467"/>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83</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FDA13-660D-7B3D-E58E-0B254A76155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5939E-48C4-1F0C-B3F7-DF7B8DB1353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5A414-2DFB-9764-3CBD-D53E38ACFB7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1D151-A209-0CFE-CBE9-3BDC5D7540F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9D4EC-5586-722E-5023-B3AF6EF90CE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C218A-DF35-9007-664E-8726A32B985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E56C4-F3C1-99D8-AC1B-18400B19205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092BB-A0E6-C2E1-3A7F-BCBBAEC0F7D3}">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795A-8902-594F-C801-E5F20950B14A}">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6" t="s">
        <v>2244</v>
      </c>
      <c r="B1" s="2017" t="s">
        <v>2245</v>
      </c>
      <c r="C1" s="2755" t="s">
        <v>2246</v>
      </c>
      <c r="D1" s="2756"/>
      <c r="E1" s="767" t="s">
        <v>2247</v>
      </c>
    </row>
    <row r="2" spans="1:5" ht="11.25" customHeight="1">
      <c r="A2" s="2018"/>
      <c r="B2" s="700" t="s">
        <v>26</v>
      </c>
      <c r="C2" s="690"/>
      <c r="D2" s="699"/>
      <c r="E2" s="767"/>
    </row>
    <row r="3" spans="1:5" ht="11.25" customHeight="1">
      <c r="A3" s="2019"/>
      <c r="B3" s="2020" t="s">
        <v>33</v>
      </c>
      <c r="C3" s="690"/>
      <c r="D3" s="699"/>
      <c r="E3" s="767"/>
    </row>
    <row r="4" spans="1:5" ht="11.25" customHeight="1">
      <c r="A4" s="2021"/>
      <c r="B4" s="701" t="s">
        <v>1671</v>
      </c>
      <c r="C4" s="690"/>
      <c r="D4" s="699"/>
      <c r="E4" s="767"/>
    </row>
    <row r="5" spans="1:5" ht="11.25" customHeight="1">
      <c r="A5" s="2022"/>
      <c r="B5" s="701" t="s">
        <v>1665</v>
      </c>
      <c r="C5" s="2023" t="s">
        <v>2011</v>
      </c>
      <c r="D5" s="2024" t="s">
        <v>2248</v>
      </c>
      <c r="E5" s="767"/>
    </row>
    <row r="6" spans="1:5" s="1775" customFormat="1" ht="11.25" customHeight="1">
      <c r="A6" s="2025"/>
      <c r="B6" s="701" t="s">
        <v>1675</v>
      </c>
      <c r="C6" s="690"/>
      <c r="D6" s="699"/>
      <c r="E6" s="767"/>
    </row>
    <row r="7" spans="1:5" ht="11.25" customHeight="1">
      <c r="A7" s="2026"/>
      <c r="B7" s="701" t="s">
        <v>1682</v>
      </c>
      <c r="C7" s="690"/>
      <c r="D7" s="699"/>
      <c r="E7" s="767"/>
    </row>
    <row r="8" spans="1:5" ht="11.25" customHeight="1">
      <c r="A8" s="692"/>
      <c r="B8" s="701" t="s">
        <v>1678</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AFB39-F4CD-48D8-0BCD-7C80C09A42F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EF15F-7624-2F76-8496-4EE46CC6290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D90A8-D7D5-CDAE-AEF6-24B15731C8B8}">
  <sheetPr>
    <tabColor rgb="FFFFCC99"/>
  </sheetPr>
  <dimension ref="A1:I341"/>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2249</v>
      </c>
      <c r="B1" s="8" t="s">
        <v>2250</v>
      </c>
      <c r="C1" s="8" t="s">
        <v>2251</v>
      </c>
      <c r="D1" s="8" t="s">
        <v>2252</v>
      </c>
      <c r="E1" s="8" t="s">
        <v>2253</v>
      </c>
      <c r="F1" s="8" t="s">
        <v>2254</v>
      </c>
      <c r="G1" s="8" t="s">
        <v>2255</v>
      </c>
      <c r="H1" s="8" t="s">
        <v>2256</v>
      </c>
      <c r="I1" s="8" t="s">
        <v>2257</v>
      </c>
    </row>
    <row r="2" spans="1:9" ht="11.25" customHeight="1">
      <c r="A2" s="1775" t="s">
        <v>2258</v>
      </c>
      <c r="B2" s="1775" t="s">
        <v>16</v>
      </c>
      <c r="C2" s="1775" t="s">
        <v>2259</v>
      </c>
      <c r="D2" s="1775" t="s">
        <v>2260</v>
      </c>
      <c r="E2" s="1775" t="s">
        <v>2261</v>
      </c>
      <c r="F2" s="1775" t="s">
        <v>2262</v>
      </c>
      <c r="G2" s="1775" t="s">
        <v>28</v>
      </c>
      <c r="H2" s="1775" t="s">
        <v>28</v>
      </c>
      <c r="I2" s="1775" t="s">
        <v>816</v>
      </c>
    </row>
    <row r="3" spans="1:9" ht="11.25" customHeight="1">
      <c r="A3" s="1775" t="s">
        <v>2258</v>
      </c>
      <c r="B3" s="1775" t="s">
        <v>16</v>
      </c>
      <c r="C3" s="1775" t="s">
        <v>2263</v>
      </c>
      <c r="D3" s="1775" t="s">
        <v>2264</v>
      </c>
      <c r="E3" s="1775" t="s">
        <v>2265</v>
      </c>
      <c r="F3" s="1775" t="s">
        <v>2266</v>
      </c>
      <c r="G3" s="1775" t="s">
        <v>2267</v>
      </c>
      <c r="H3" s="1775" t="s">
        <v>28</v>
      </c>
      <c r="I3" s="1775" t="s">
        <v>816</v>
      </c>
    </row>
    <row r="4" spans="1:9" ht="11.25" customHeight="1">
      <c r="A4" s="1775" t="s">
        <v>2258</v>
      </c>
      <c r="B4" s="1775" t="s">
        <v>16</v>
      </c>
      <c r="C4" s="1775" t="s">
        <v>2268</v>
      </c>
      <c r="D4" s="1775" t="s">
        <v>2269</v>
      </c>
      <c r="E4" s="1775" t="s">
        <v>2270</v>
      </c>
      <c r="F4" s="1775" t="s">
        <v>2271</v>
      </c>
      <c r="G4" s="1775" t="s">
        <v>2272</v>
      </c>
      <c r="H4" s="1775" t="s">
        <v>28</v>
      </c>
      <c r="I4" s="1775" t="s">
        <v>816</v>
      </c>
    </row>
    <row r="5" spans="1:9" ht="11.25" customHeight="1">
      <c r="A5" s="1775" t="s">
        <v>2258</v>
      </c>
      <c r="B5" s="1775" t="s">
        <v>16</v>
      </c>
      <c r="C5" s="1775" t="s">
        <v>2273</v>
      </c>
      <c r="D5" s="1775" t="s">
        <v>2274</v>
      </c>
      <c r="E5" s="1775" t="s">
        <v>2275</v>
      </c>
      <c r="F5" s="1775" t="s">
        <v>2276</v>
      </c>
      <c r="G5" s="1775" t="s">
        <v>28</v>
      </c>
      <c r="H5" s="1775" t="s">
        <v>28</v>
      </c>
      <c r="I5" s="1775" t="s">
        <v>816</v>
      </c>
    </row>
    <row r="6" spans="1:9" ht="11.25" customHeight="1">
      <c r="A6" s="1775" t="s">
        <v>2258</v>
      </c>
      <c r="B6" s="1775" t="s">
        <v>16</v>
      </c>
      <c r="C6" s="1775" t="s">
        <v>2277</v>
      </c>
      <c r="D6" s="1775" t="s">
        <v>2278</v>
      </c>
      <c r="E6" s="1775" t="s">
        <v>2275</v>
      </c>
      <c r="F6" s="1775" t="s">
        <v>2279</v>
      </c>
      <c r="G6" s="1775" t="s">
        <v>28</v>
      </c>
      <c r="H6" s="1775" t="s">
        <v>28</v>
      </c>
      <c r="I6" s="1775" t="s">
        <v>816</v>
      </c>
    </row>
    <row r="7" spans="1:9" ht="11.25" customHeight="1">
      <c r="A7" s="1775" t="s">
        <v>2258</v>
      </c>
      <c r="B7" s="1775" t="s">
        <v>16</v>
      </c>
      <c r="C7" s="1775" t="s">
        <v>2280</v>
      </c>
      <c r="D7" s="1775" t="s">
        <v>2281</v>
      </c>
      <c r="E7" s="1775" t="s">
        <v>2282</v>
      </c>
      <c r="F7" s="1775" t="s">
        <v>2283</v>
      </c>
      <c r="G7" s="1775" t="s">
        <v>28</v>
      </c>
      <c r="H7" s="1775" t="s">
        <v>28</v>
      </c>
      <c r="I7" s="1775" t="s">
        <v>816</v>
      </c>
    </row>
    <row r="8" spans="1:9" ht="11.25" customHeight="1">
      <c r="A8" s="1775" t="s">
        <v>2258</v>
      </c>
      <c r="B8" s="1775" t="s">
        <v>16</v>
      </c>
      <c r="C8" s="1775" t="s">
        <v>2284</v>
      </c>
      <c r="D8" s="1775" t="s">
        <v>2285</v>
      </c>
      <c r="E8" s="1775" t="s">
        <v>2286</v>
      </c>
      <c r="F8" s="1775" t="s">
        <v>2271</v>
      </c>
      <c r="G8" s="1775" t="s">
        <v>2287</v>
      </c>
      <c r="H8" s="1775" t="s">
        <v>28</v>
      </c>
      <c r="I8" s="1775" t="s">
        <v>816</v>
      </c>
    </row>
    <row r="9" spans="1:9" ht="11.25" customHeight="1">
      <c r="A9" s="1775" t="s">
        <v>2258</v>
      </c>
      <c r="B9" s="1775" t="s">
        <v>16</v>
      </c>
      <c r="C9" s="1775" t="s">
        <v>2288</v>
      </c>
      <c r="D9" s="1775" t="s">
        <v>2289</v>
      </c>
      <c r="E9" s="1775" t="s">
        <v>2290</v>
      </c>
      <c r="F9" s="1775" t="s">
        <v>2291</v>
      </c>
      <c r="G9" s="1775" t="s">
        <v>2292</v>
      </c>
      <c r="H9" s="1775" t="s">
        <v>28</v>
      </c>
      <c r="I9" s="1775" t="s">
        <v>816</v>
      </c>
    </row>
    <row r="10" spans="1:9" ht="11.25" customHeight="1">
      <c r="A10" s="1775" t="s">
        <v>2258</v>
      </c>
      <c r="B10" s="1775" t="s">
        <v>16</v>
      </c>
      <c r="C10" s="1775" t="s">
        <v>2293</v>
      </c>
      <c r="D10" s="1775" t="s">
        <v>2294</v>
      </c>
      <c r="E10" s="1775" t="s">
        <v>2295</v>
      </c>
      <c r="F10" s="1775" t="s">
        <v>2296</v>
      </c>
      <c r="G10" s="1775" t="s">
        <v>28</v>
      </c>
      <c r="H10" s="1775" t="s">
        <v>28</v>
      </c>
      <c r="I10" s="1775" t="s">
        <v>816</v>
      </c>
    </row>
    <row r="11" spans="1:9" ht="11.25" customHeight="1">
      <c r="A11" s="1775" t="s">
        <v>2258</v>
      </c>
      <c r="B11" s="1775" t="s">
        <v>16</v>
      </c>
      <c r="C11" s="1775" t="s">
        <v>2297</v>
      </c>
      <c r="D11" s="1775" t="s">
        <v>2298</v>
      </c>
      <c r="E11" s="1775" t="s">
        <v>2299</v>
      </c>
      <c r="F11" s="1775" t="s">
        <v>2300</v>
      </c>
      <c r="G11" s="1775" t="s">
        <v>28</v>
      </c>
      <c r="H11" s="1775" t="s">
        <v>28</v>
      </c>
      <c r="I11" s="1775" t="s">
        <v>816</v>
      </c>
    </row>
    <row r="12" spans="1:9" ht="11.25" customHeight="1">
      <c r="A12" s="1775" t="s">
        <v>2258</v>
      </c>
      <c r="B12" s="1775" t="s">
        <v>16</v>
      </c>
      <c r="C12" s="1775" t="s">
        <v>2301</v>
      </c>
      <c r="D12" s="1775" t="s">
        <v>2302</v>
      </c>
      <c r="E12" s="1775" t="s">
        <v>2303</v>
      </c>
      <c r="F12" s="1775" t="s">
        <v>2271</v>
      </c>
      <c r="G12" s="1775" t="s">
        <v>28</v>
      </c>
      <c r="H12" s="1775" t="s">
        <v>28</v>
      </c>
      <c r="I12" s="1775" t="s">
        <v>816</v>
      </c>
    </row>
    <row r="13" spans="1:9" ht="11.25" customHeight="1">
      <c r="A13" s="1775" t="s">
        <v>2258</v>
      </c>
      <c r="B13" s="1775" t="s">
        <v>16</v>
      </c>
      <c r="C13" s="1775" t="s">
        <v>2304</v>
      </c>
      <c r="D13" s="1775" t="s">
        <v>2305</v>
      </c>
      <c r="E13" s="1775" t="s">
        <v>2306</v>
      </c>
      <c r="F13" s="1775" t="s">
        <v>2271</v>
      </c>
      <c r="G13" s="1775" t="s">
        <v>28</v>
      </c>
      <c r="H13" s="1775" t="s">
        <v>28</v>
      </c>
      <c r="I13" s="1775" t="s">
        <v>816</v>
      </c>
    </row>
    <row r="14" spans="1:9" ht="11.25" customHeight="1">
      <c r="A14" s="1775" t="s">
        <v>2258</v>
      </c>
      <c r="B14" s="1775" t="s">
        <v>16</v>
      </c>
      <c r="C14" s="1775" t="s">
        <v>2307</v>
      </c>
      <c r="D14" s="1775" t="s">
        <v>2308</v>
      </c>
      <c r="E14" s="1775" t="s">
        <v>2309</v>
      </c>
      <c r="F14" s="1775" t="s">
        <v>2310</v>
      </c>
      <c r="G14" s="1775" t="s">
        <v>28</v>
      </c>
      <c r="H14" s="1775" t="s">
        <v>28</v>
      </c>
      <c r="I14" s="1775" t="s">
        <v>816</v>
      </c>
    </row>
    <row r="15" spans="1:9" ht="11.25" customHeight="1">
      <c r="A15" s="1775" t="s">
        <v>2258</v>
      </c>
      <c r="B15" s="1775" t="s">
        <v>16</v>
      </c>
      <c r="C15" s="1775" t="s">
        <v>2311</v>
      </c>
      <c r="D15" s="1775" t="s">
        <v>2312</v>
      </c>
      <c r="E15" s="1775" t="s">
        <v>2309</v>
      </c>
      <c r="F15" s="1775" t="s">
        <v>2313</v>
      </c>
      <c r="G15" s="1775" t="s">
        <v>28</v>
      </c>
      <c r="H15" s="1775" t="s">
        <v>28</v>
      </c>
      <c r="I15" s="1775" t="s">
        <v>816</v>
      </c>
    </row>
    <row r="16" spans="1:9" ht="11.25" customHeight="1">
      <c r="A16" s="1775" t="s">
        <v>2258</v>
      </c>
      <c r="B16" s="1775" t="s">
        <v>16</v>
      </c>
      <c r="C16" s="1775" t="s">
        <v>2314</v>
      </c>
      <c r="D16" s="1775" t="s">
        <v>2315</v>
      </c>
      <c r="E16" s="1775" t="s">
        <v>2316</v>
      </c>
      <c r="F16" s="1775" t="s">
        <v>2271</v>
      </c>
      <c r="G16" s="1775" t="s">
        <v>28</v>
      </c>
      <c r="H16" s="1775" t="s">
        <v>28</v>
      </c>
      <c r="I16" s="1775" t="s">
        <v>816</v>
      </c>
    </row>
    <row r="17" spans="1:9" ht="11.25" customHeight="1">
      <c r="A17" s="1775" t="s">
        <v>2258</v>
      </c>
      <c r="B17" s="1775" t="s">
        <v>16</v>
      </c>
      <c r="C17" s="1775" t="s">
        <v>2317</v>
      </c>
      <c r="D17" s="1775" t="s">
        <v>2318</v>
      </c>
      <c r="E17" s="1775" t="s">
        <v>2319</v>
      </c>
      <c r="F17" s="1775" t="s">
        <v>584</v>
      </c>
      <c r="G17" s="1775" t="s">
        <v>28</v>
      </c>
      <c r="H17" s="1775" t="s">
        <v>28</v>
      </c>
      <c r="I17" s="1775" t="s">
        <v>816</v>
      </c>
    </row>
    <row r="18" spans="1:9" ht="11.25" customHeight="1">
      <c r="A18" s="1775" t="s">
        <v>2258</v>
      </c>
      <c r="B18" s="1775" t="s">
        <v>16</v>
      </c>
      <c r="C18" s="1775" t="s">
        <v>2320</v>
      </c>
      <c r="D18" s="1775" t="s">
        <v>2321</v>
      </c>
      <c r="E18" s="1775" t="s">
        <v>2322</v>
      </c>
      <c r="F18" s="1775" t="s">
        <v>2279</v>
      </c>
      <c r="G18" s="1775" t="s">
        <v>2323</v>
      </c>
      <c r="H18" s="1775" t="s">
        <v>28</v>
      </c>
      <c r="I18" s="1775" t="s">
        <v>816</v>
      </c>
    </row>
    <row r="19" spans="1:9" ht="11.25" customHeight="1">
      <c r="A19" s="1775" t="s">
        <v>2258</v>
      </c>
      <c r="B19" s="1775" t="s">
        <v>16</v>
      </c>
      <c r="C19" s="1775" t="s">
        <v>28</v>
      </c>
      <c r="D19" s="1775" t="s">
        <v>2324</v>
      </c>
      <c r="E19" s="1775" t="s">
        <v>2325</v>
      </c>
      <c r="F19" s="1775" t="s">
        <v>2271</v>
      </c>
      <c r="G19" s="1775" t="s">
        <v>28</v>
      </c>
      <c r="H19" s="1775" t="s">
        <v>28</v>
      </c>
      <c r="I19" s="1775" t="s">
        <v>816</v>
      </c>
    </row>
    <row r="20" spans="1:9" ht="11.25" customHeight="1">
      <c r="A20" s="1775" t="s">
        <v>2258</v>
      </c>
      <c r="B20" s="1775" t="s">
        <v>16</v>
      </c>
      <c r="C20" s="1775" t="s">
        <v>2326</v>
      </c>
      <c r="D20" s="1775" t="s">
        <v>2327</v>
      </c>
      <c r="E20" s="1775" t="s">
        <v>2328</v>
      </c>
      <c r="F20" s="1775" t="s">
        <v>2329</v>
      </c>
      <c r="G20" s="1775" t="s">
        <v>2330</v>
      </c>
      <c r="H20" s="1775" t="s">
        <v>28</v>
      </c>
      <c r="I20" s="1775" t="s">
        <v>816</v>
      </c>
    </row>
    <row r="21" spans="1:9" ht="11.25" customHeight="1">
      <c r="A21" s="1775" t="s">
        <v>2258</v>
      </c>
      <c r="B21" s="1775" t="s">
        <v>16</v>
      </c>
      <c r="C21" s="1775" t="s">
        <v>2331</v>
      </c>
      <c r="D21" s="1775" t="s">
        <v>2332</v>
      </c>
      <c r="E21" s="1775" t="s">
        <v>2333</v>
      </c>
      <c r="F21" s="1775" t="s">
        <v>2334</v>
      </c>
      <c r="G21" s="1775" t="s">
        <v>2335</v>
      </c>
      <c r="H21" s="1775" t="s">
        <v>28</v>
      </c>
      <c r="I21" s="1775" t="s">
        <v>816</v>
      </c>
    </row>
    <row r="22" spans="1:9" ht="11.25" customHeight="1">
      <c r="A22" s="1775" t="s">
        <v>2258</v>
      </c>
      <c r="B22" s="1775" t="s">
        <v>16</v>
      </c>
      <c r="C22" s="1775" t="s">
        <v>2336</v>
      </c>
      <c r="D22" s="1775" t="s">
        <v>2337</v>
      </c>
      <c r="E22" s="1775" t="s">
        <v>2338</v>
      </c>
      <c r="F22" s="1775" t="s">
        <v>2262</v>
      </c>
      <c r="G22" s="1775" t="s">
        <v>2339</v>
      </c>
      <c r="H22" s="1775" t="s">
        <v>28</v>
      </c>
      <c r="I22" s="1775" t="s">
        <v>816</v>
      </c>
    </row>
    <row r="23" spans="1:9" ht="11.25" customHeight="1">
      <c r="A23" s="1775" t="s">
        <v>2258</v>
      </c>
      <c r="B23" s="1775" t="s">
        <v>16</v>
      </c>
      <c r="C23" s="1775" t="s">
        <v>13</v>
      </c>
      <c r="D23" s="1775" t="s">
        <v>47</v>
      </c>
      <c r="E23" s="1775" t="s">
        <v>50</v>
      </c>
      <c r="F23" s="1775" t="s">
        <v>52</v>
      </c>
      <c r="G23" s="1775" t="s">
        <v>28</v>
      </c>
      <c r="H23" s="1775" t="s">
        <v>28</v>
      </c>
      <c r="I23" s="1775" t="s">
        <v>816</v>
      </c>
    </row>
    <row r="24" spans="1:9" ht="11.25" customHeight="1">
      <c r="A24" s="1775" t="s">
        <v>2258</v>
      </c>
      <c r="B24" s="1775" t="s">
        <v>16</v>
      </c>
      <c r="C24" s="1775" t="s">
        <v>2340</v>
      </c>
      <c r="D24" s="1775" t="s">
        <v>2341</v>
      </c>
      <c r="E24" s="1775" t="s">
        <v>2342</v>
      </c>
      <c r="F24" s="1775" t="s">
        <v>2271</v>
      </c>
      <c r="G24" s="1775" t="s">
        <v>28</v>
      </c>
      <c r="H24" s="1775" t="s">
        <v>28</v>
      </c>
      <c r="I24" s="1775" t="s">
        <v>816</v>
      </c>
    </row>
    <row r="25" spans="1:9" ht="11.25" customHeight="1">
      <c r="A25" s="1775" t="s">
        <v>2258</v>
      </c>
      <c r="B25" s="1775" t="s">
        <v>16</v>
      </c>
      <c r="C25" s="1775" t="s">
        <v>2343</v>
      </c>
      <c r="D25" s="1775" t="s">
        <v>2344</v>
      </c>
      <c r="E25" s="1775" t="s">
        <v>2345</v>
      </c>
      <c r="F25" s="1775" t="s">
        <v>2346</v>
      </c>
      <c r="G25" s="1775" t="s">
        <v>28</v>
      </c>
      <c r="H25" s="1775" t="s">
        <v>28</v>
      </c>
      <c r="I25" s="1775" t="s">
        <v>816</v>
      </c>
    </row>
    <row r="26" spans="1:9" ht="11.25" customHeight="1">
      <c r="A26" s="1775" t="s">
        <v>2258</v>
      </c>
      <c r="B26" s="1775" t="s">
        <v>16</v>
      </c>
      <c r="C26" s="1775" t="s">
        <v>2347</v>
      </c>
      <c r="D26" s="1775" t="s">
        <v>2348</v>
      </c>
      <c r="E26" s="1775" t="s">
        <v>2349</v>
      </c>
      <c r="F26" s="1775" t="s">
        <v>52</v>
      </c>
      <c r="G26" s="1775" t="s">
        <v>28</v>
      </c>
      <c r="H26" s="1775" t="s">
        <v>28</v>
      </c>
      <c r="I26" s="1775" t="s">
        <v>816</v>
      </c>
    </row>
    <row r="27" spans="1:9" ht="11.25" customHeight="1">
      <c r="A27" s="1775" t="s">
        <v>2258</v>
      </c>
      <c r="B27" s="1775" t="s">
        <v>16</v>
      </c>
      <c r="C27" s="1775" t="s">
        <v>2350</v>
      </c>
      <c r="D27" s="1775" t="s">
        <v>2351</v>
      </c>
      <c r="E27" s="1775" t="s">
        <v>2352</v>
      </c>
      <c r="F27" s="1775" t="s">
        <v>2334</v>
      </c>
      <c r="G27" s="1775" t="s">
        <v>28</v>
      </c>
      <c r="H27" s="1775" t="s">
        <v>28</v>
      </c>
      <c r="I27" s="1775" t="s">
        <v>816</v>
      </c>
    </row>
    <row r="28" spans="1:9" ht="11.25" customHeight="1">
      <c r="A28" s="1775" t="s">
        <v>2258</v>
      </c>
      <c r="B28" s="1775" t="s">
        <v>16</v>
      </c>
      <c r="C28" s="1775" t="s">
        <v>2353</v>
      </c>
      <c r="D28" s="1775" t="s">
        <v>2354</v>
      </c>
      <c r="E28" s="1775" t="s">
        <v>2355</v>
      </c>
      <c r="F28" s="1775" t="s">
        <v>2346</v>
      </c>
      <c r="G28" s="1775" t="s">
        <v>28</v>
      </c>
      <c r="H28" s="1775" t="s">
        <v>28</v>
      </c>
      <c r="I28" s="1775" t="s">
        <v>816</v>
      </c>
    </row>
    <row r="29" spans="1:9" ht="11.25" customHeight="1">
      <c r="A29" s="1775" t="s">
        <v>2258</v>
      </c>
      <c r="B29" s="1775" t="s">
        <v>16</v>
      </c>
      <c r="C29" s="1775" t="s">
        <v>2356</v>
      </c>
      <c r="D29" s="1775" t="s">
        <v>2357</v>
      </c>
      <c r="E29" s="1775" t="s">
        <v>2358</v>
      </c>
      <c r="F29" s="1775" t="s">
        <v>2359</v>
      </c>
      <c r="G29" s="1775" t="s">
        <v>2360</v>
      </c>
      <c r="H29" s="1775" t="s">
        <v>28</v>
      </c>
      <c r="I29" s="1775" t="s">
        <v>816</v>
      </c>
    </row>
    <row r="30" spans="1:9" ht="11.25" customHeight="1">
      <c r="A30" s="1775" t="s">
        <v>2258</v>
      </c>
      <c r="B30" s="1775" t="s">
        <v>16</v>
      </c>
      <c r="C30" s="1775" t="s">
        <v>2361</v>
      </c>
      <c r="D30" s="1775" t="s">
        <v>2362</v>
      </c>
      <c r="E30" s="1775" t="s">
        <v>2363</v>
      </c>
      <c r="F30" s="1775" t="s">
        <v>2364</v>
      </c>
      <c r="G30" s="1775" t="s">
        <v>2365</v>
      </c>
      <c r="H30" s="1775" t="s">
        <v>28</v>
      </c>
      <c r="I30" s="1775" t="s">
        <v>816</v>
      </c>
    </row>
    <row r="31" spans="1:9" ht="11.25" customHeight="1">
      <c r="A31" s="1775" t="s">
        <v>2258</v>
      </c>
      <c r="B31" s="1775" t="s">
        <v>16</v>
      </c>
      <c r="C31" s="1775" t="s">
        <v>2366</v>
      </c>
      <c r="D31" s="1775" t="s">
        <v>2367</v>
      </c>
      <c r="E31" s="1775" t="s">
        <v>2368</v>
      </c>
      <c r="F31" s="1775" t="s">
        <v>2359</v>
      </c>
      <c r="G31" s="1775" t="s">
        <v>2369</v>
      </c>
      <c r="H31" s="1775" t="s">
        <v>28</v>
      </c>
      <c r="I31" s="1775" t="s">
        <v>816</v>
      </c>
    </row>
    <row r="32" spans="1:9" ht="11.25" customHeight="1">
      <c r="A32" s="1775" t="s">
        <v>2258</v>
      </c>
      <c r="B32" s="1775" t="s">
        <v>16</v>
      </c>
      <c r="C32" s="1775" t="s">
        <v>2370</v>
      </c>
      <c r="D32" s="1775" t="s">
        <v>2371</v>
      </c>
      <c r="E32" s="1775" t="s">
        <v>2372</v>
      </c>
      <c r="F32" s="1775" t="s">
        <v>2266</v>
      </c>
      <c r="G32" s="1775" t="s">
        <v>28</v>
      </c>
      <c r="H32" s="1775" t="s">
        <v>28</v>
      </c>
      <c r="I32" s="1775" t="s">
        <v>816</v>
      </c>
    </row>
    <row r="33" spans="1:9" ht="11.25" customHeight="1">
      <c r="A33" s="1775" t="s">
        <v>2258</v>
      </c>
      <c r="B33" s="1775" t="s">
        <v>16</v>
      </c>
      <c r="C33" s="1775" t="s">
        <v>2373</v>
      </c>
      <c r="D33" s="1775" t="s">
        <v>2374</v>
      </c>
      <c r="E33" s="1775" t="s">
        <v>2375</v>
      </c>
      <c r="F33" s="1775" t="s">
        <v>2376</v>
      </c>
      <c r="G33" s="1775" t="s">
        <v>28</v>
      </c>
      <c r="H33" s="1775" t="s">
        <v>28</v>
      </c>
      <c r="I33" s="1775" t="s">
        <v>816</v>
      </c>
    </row>
    <row r="34" spans="1:9" ht="11.25" customHeight="1">
      <c r="A34" s="1775" t="s">
        <v>2258</v>
      </c>
      <c r="B34" s="1775" t="s">
        <v>16</v>
      </c>
      <c r="C34" s="1775" t="s">
        <v>2377</v>
      </c>
      <c r="D34" s="1775" t="s">
        <v>2378</v>
      </c>
      <c r="E34" s="1775" t="s">
        <v>2379</v>
      </c>
      <c r="F34" s="1775" t="s">
        <v>2380</v>
      </c>
      <c r="G34" s="1775" t="s">
        <v>28</v>
      </c>
      <c r="H34" s="1775" t="s">
        <v>28</v>
      </c>
      <c r="I34" s="1775" t="s">
        <v>816</v>
      </c>
    </row>
    <row r="35" spans="1:9" ht="11.25" customHeight="1">
      <c r="A35" s="1775" t="s">
        <v>2258</v>
      </c>
      <c r="B35" s="1775" t="s">
        <v>16</v>
      </c>
      <c r="C35" s="1775" t="s">
        <v>2381</v>
      </c>
      <c r="D35" s="1775" t="s">
        <v>2382</v>
      </c>
      <c r="E35" s="1775" t="s">
        <v>2383</v>
      </c>
      <c r="F35" s="1775" t="s">
        <v>2384</v>
      </c>
      <c r="G35" s="1775" t="s">
        <v>28</v>
      </c>
      <c r="H35" s="1775" t="s">
        <v>28</v>
      </c>
      <c r="I35" s="1775" t="s">
        <v>816</v>
      </c>
    </row>
    <row r="36" spans="1:9" ht="11.25" customHeight="1">
      <c r="A36" s="1775" t="s">
        <v>2258</v>
      </c>
      <c r="B36" s="1775" t="s">
        <v>16</v>
      </c>
      <c r="C36" s="1775" t="s">
        <v>2385</v>
      </c>
      <c r="D36" s="1775" t="s">
        <v>2386</v>
      </c>
      <c r="E36" s="1775" t="s">
        <v>2387</v>
      </c>
      <c r="F36" s="1775" t="s">
        <v>2271</v>
      </c>
      <c r="G36" s="1775" t="s">
        <v>28</v>
      </c>
      <c r="H36" s="1775" t="s">
        <v>28</v>
      </c>
      <c r="I36" s="1775" t="s">
        <v>816</v>
      </c>
    </row>
    <row r="37" spans="1:9" ht="11.25" customHeight="1">
      <c r="A37" s="1775" t="s">
        <v>2258</v>
      </c>
      <c r="B37" s="1775" t="s">
        <v>16</v>
      </c>
      <c r="C37" s="1775" t="s">
        <v>2388</v>
      </c>
      <c r="D37" s="1775" t="s">
        <v>2389</v>
      </c>
      <c r="E37" s="1775" t="s">
        <v>2306</v>
      </c>
      <c r="F37" s="1775" t="s">
        <v>2384</v>
      </c>
      <c r="G37" s="1775" t="s">
        <v>28</v>
      </c>
      <c r="H37" s="1775" t="s">
        <v>28</v>
      </c>
      <c r="I37" s="1775" t="s">
        <v>816</v>
      </c>
    </row>
    <row r="38" spans="1:9" ht="11.25" customHeight="1">
      <c r="A38" s="1775" t="s">
        <v>2258</v>
      </c>
      <c r="B38" s="1775" t="s">
        <v>16</v>
      </c>
      <c r="C38" s="1775" t="s">
        <v>2390</v>
      </c>
      <c r="D38" s="1775" t="s">
        <v>2391</v>
      </c>
      <c r="E38" s="1775" t="s">
        <v>2392</v>
      </c>
      <c r="F38" s="1775" t="s">
        <v>2346</v>
      </c>
      <c r="G38" s="1775" t="s">
        <v>28</v>
      </c>
      <c r="H38" s="1775" t="s">
        <v>28</v>
      </c>
      <c r="I38" s="1775" t="s">
        <v>816</v>
      </c>
    </row>
    <row r="39" spans="1:9" ht="11.25" customHeight="1">
      <c r="A39" s="1775" t="s">
        <v>2258</v>
      </c>
      <c r="B39" s="1775" t="s">
        <v>16</v>
      </c>
      <c r="C39" s="1775" t="s">
        <v>2393</v>
      </c>
      <c r="D39" s="1775" t="s">
        <v>2394</v>
      </c>
      <c r="E39" s="1775" t="s">
        <v>2395</v>
      </c>
      <c r="F39" s="1775" t="s">
        <v>2262</v>
      </c>
      <c r="G39" s="1775" t="s">
        <v>28</v>
      </c>
      <c r="H39" s="1775" t="s">
        <v>28</v>
      </c>
      <c r="I39" s="1775" t="s">
        <v>816</v>
      </c>
    </row>
    <row r="40" spans="1:9" ht="11.25" customHeight="1">
      <c r="A40" s="1775" t="s">
        <v>2258</v>
      </c>
      <c r="B40" s="1775" t="s">
        <v>16</v>
      </c>
      <c r="C40" s="1775" t="s">
        <v>2396</v>
      </c>
      <c r="D40" s="1775" t="s">
        <v>2397</v>
      </c>
      <c r="E40" s="1775" t="s">
        <v>2398</v>
      </c>
      <c r="F40" s="1775" t="s">
        <v>2399</v>
      </c>
      <c r="G40" s="1775" t="s">
        <v>2400</v>
      </c>
      <c r="H40" s="1775" t="s">
        <v>28</v>
      </c>
      <c r="I40" s="1775" t="s">
        <v>816</v>
      </c>
    </row>
    <row r="41" spans="1:9" ht="11.25" customHeight="1">
      <c r="A41" s="1775" t="s">
        <v>2258</v>
      </c>
      <c r="B41" s="1775" t="s">
        <v>16</v>
      </c>
      <c r="C41" s="1775" t="s">
        <v>2401</v>
      </c>
      <c r="D41" s="1775" t="s">
        <v>2402</v>
      </c>
      <c r="E41" s="1775" t="s">
        <v>2403</v>
      </c>
      <c r="F41" s="1775" t="s">
        <v>2404</v>
      </c>
      <c r="G41" s="1775" t="s">
        <v>28</v>
      </c>
      <c r="H41" s="1775" t="s">
        <v>28</v>
      </c>
      <c r="I41" s="1775" t="s">
        <v>816</v>
      </c>
    </row>
    <row r="42" spans="1:9" ht="11.25" customHeight="1">
      <c r="A42" s="1775" t="s">
        <v>2258</v>
      </c>
      <c r="B42" s="1775" t="s">
        <v>16</v>
      </c>
      <c r="C42" s="1775" t="s">
        <v>2405</v>
      </c>
      <c r="D42" s="1775" t="s">
        <v>2406</v>
      </c>
      <c r="E42" s="1775" t="s">
        <v>2407</v>
      </c>
      <c r="F42" s="1775" t="s">
        <v>2346</v>
      </c>
      <c r="G42" s="1775" t="s">
        <v>28</v>
      </c>
      <c r="H42" s="1775" t="s">
        <v>28</v>
      </c>
      <c r="I42" s="1775" t="s">
        <v>816</v>
      </c>
    </row>
    <row r="43" spans="1:9" ht="11.25" customHeight="1">
      <c r="A43" s="1775" t="s">
        <v>2258</v>
      </c>
      <c r="B43" s="1775" t="s">
        <v>16</v>
      </c>
      <c r="C43" s="1775" t="s">
        <v>2408</v>
      </c>
      <c r="D43" s="1775" t="s">
        <v>2409</v>
      </c>
      <c r="E43" s="1775" t="s">
        <v>2410</v>
      </c>
      <c r="F43" s="1775" t="s">
        <v>2411</v>
      </c>
      <c r="G43" s="1775" t="s">
        <v>28</v>
      </c>
      <c r="H43" s="1775" t="s">
        <v>28</v>
      </c>
      <c r="I43" s="1775" t="s">
        <v>816</v>
      </c>
    </row>
    <row r="44" spans="1:9" ht="11.25" customHeight="1">
      <c r="A44" s="1775" t="s">
        <v>2258</v>
      </c>
      <c r="B44" s="1775" t="s">
        <v>16</v>
      </c>
      <c r="C44" s="1775" t="s">
        <v>2412</v>
      </c>
      <c r="D44" s="1775" t="s">
        <v>2413</v>
      </c>
      <c r="E44" s="1775" t="s">
        <v>2414</v>
      </c>
      <c r="F44" s="1775" t="s">
        <v>2346</v>
      </c>
      <c r="G44" s="1775" t="s">
        <v>28</v>
      </c>
      <c r="H44" s="1775" t="s">
        <v>28</v>
      </c>
      <c r="I44" s="1775" t="s">
        <v>816</v>
      </c>
    </row>
    <row r="45" spans="1:9" ht="11.25" customHeight="1">
      <c r="A45" s="1775" t="s">
        <v>2258</v>
      </c>
      <c r="B45" s="1775" t="s">
        <v>16</v>
      </c>
      <c r="C45" s="1775" t="s">
        <v>2415</v>
      </c>
      <c r="D45" s="1775" t="s">
        <v>2416</v>
      </c>
      <c r="E45" s="1775" t="s">
        <v>2417</v>
      </c>
      <c r="F45" s="1775" t="s">
        <v>2346</v>
      </c>
      <c r="G45" s="1775" t="s">
        <v>2418</v>
      </c>
      <c r="H45" s="1775" t="s">
        <v>28</v>
      </c>
      <c r="I45" s="1775" t="s">
        <v>816</v>
      </c>
    </row>
    <row r="46" spans="1:9" ht="11.25" customHeight="1">
      <c r="A46" s="1775" t="s">
        <v>2258</v>
      </c>
      <c r="B46" s="1775" t="s">
        <v>16</v>
      </c>
      <c r="C46" s="1775" t="s">
        <v>2419</v>
      </c>
      <c r="D46" s="1775" t="s">
        <v>2420</v>
      </c>
      <c r="E46" s="1775" t="s">
        <v>2421</v>
      </c>
      <c r="F46" s="1775" t="s">
        <v>2346</v>
      </c>
      <c r="G46" s="1775" t="s">
        <v>28</v>
      </c>
      <c r="H46" s="1775" t="s">
        <v>28</v>
      </c>
      <c r="I46" s="1775" t="s">
        <v>816</v>
      </c>
    </row>
    <row r="47" spans="1:9" ht="11.25" customHeight="1">
      <c r="A47" s="1775" t="s">
        <v>2258</v>
      </c>
      <c r="B47" s="1775" t="s">
        <v>16</v>
      </c>
      <c r="C47" s="1775" t="s">
        <v>2422</v>
      </c>
      <c r="D47" s="1775" t="s">
        <v>2423</v>
      </c>
      <c r="E47" s="1775" t="s">
        <v>2424</v>
      </c>
      <c r="F47" s="1775" t="s">
        <v>2425</v>
      </c>
      <c r="G47" s="1775" t="s">
        <v>28</v>
      </c>
      <c r="H47" s="1775" t="s">
        <v>28</v>
      </c>
      <c r="I47" s="1775" t="s">
        <v>816</v>
      </c>
    </row>
    <row r="48" spans="1:9" ht="11.25" customHeight="1">
      <c r="A48" s="1775" t="s">
        <v>2258</v>
      </c>
      <c r="B48" s="1775" t="s">
        <v>16</v>
      </c>
      <c r="C48" s="1775" t="s">
        <v>2426</v>
      </c>
      <c r="D48" s="1775" t="s">
        <v>2427</v>
      </c>
      <c r="E48" s="1775" t="s">
        <v>2428</v>
      </c>
      <c r="F48" s="1775" t="s">
        <v>2346</v>
      </c>
      <c r="G48" s="1775" t="s">
        <v>28</v>
      </c>
      <c r="H48" s="1775" t="s">
        <v>28</v>
      </c>
      <c r="I48" s="1775" t="s">
        <v>816</v>
      </c>
    </row>
    <row r="49" spans="1:9" ht="11.25" customHeight="1">
      <c r="A49" s="1775" t="s">
        <v>2258</v>
      </c>
      <c r="B49" s="1775" t="s">
        <v>16</v>
      </c>
      <c r="C49" s="1775" t="s">
        <v>2429</v>
      </c>
      <c r="D49" s="1775" t="s">
        <v>2430</v>
      </c>
      <c r="E49" s="1775" t="s">
        <v>2431</v>
      </c>
      <c r="F49" s="1775" t="s">
        <v>2432</v>
      </c>
      <c r="G49" s="1775" t="s">
        <v>2433</v>
      </c>
      <c r="H49" s="1775" t="s">
        <v>28</v>
      </c>
      <c r="I49" s="1775" t="s">
        <v>816</v>
      </c>
    </row>
    <row r="50" spans="1:9" ht="11.25" customHeight="1">
      <c r="A50" s="1775" t="s">
        <v>2258</v>
      </c>
      <c r="B50" s="1775" t="s">
        <v>16</v>
      </c>
      <c r="C50" s="1775" t="s">
        <v>2434</v>
      </c>
      <c r="D50" s="1775" t="s">
        <v>2435</v>
      </c>
      <c r="E50" s="1775" t="s">
        <v>2436</v>
      </c>
      <c r="F50" s="1775" t="s">
        <v>2271</v>
      </c>
      <c r="G50" s="1775" t="s">
        <v>28</v>
      </c>
      <c r="H50" s="1775" t="s">
        <v>28</v>
      </c>
      <c r="I50" s="1775" t="s">
        <v>816</v>
      </c>
    </row>
    <row r="51" spans="1:9" ht="11.25" customHeight="1">
      <c r="A51" s="1775" t="s">
        <v>2258</v>
      </c>
      <c r="B51" s="1775" t="s">
        <v>16</v>
      </c>
      <c r="C51" s="1775" t="s">
        <v>2437</v>
      </c>
      <c r="D51" s="1775" t="s">
        <v>2438</v>
      </c>
      <c r="E51" s="1775" t="s">
        <v>2439</v>
      </c>
      <c r="F51" s="1775" t="s">
        <v>2271</v>
      </c>
      <c r="G51" s="1775" t="s">
        <v>28</v>
      </c>
      <c r="H51" s="1775" t="s">
        <v>28</v>
      </c>
      <c r="I51" s="1775" t="s">
        <v>816</v>
      </c>
    </row>
    <row r="52" spans="1:9" ht="11.25" customHeight="1">
      <c r="A52" s="1775" t="s">
        <v>2258</v>
      </c>
      <c r="B52" s="1775" t="s">
        <v>16</v>
      </c>
      <c r="C52" s="1775" t="s">
        <v>2440</v>
      </c>
      <c r="D52" s="1775" t="s">
        <v>2441</v>
      </c>
      <c r="E52" s="1775" t="s">
        <v>2442</v>
      </c>
      <c r="F52" s="1775" t="s">
        <v>2443</v>
      </c>
      <c r="G52" s="1775" t="s">
        <v>28</v>
      </c>
      <c r="H52" s="1775" t="s">
        <v>28</v>
      </c>
      <c r="I52" s="1775" t="s">
        <v>816</v>
      </c>
    </row>
    <row r="53" spans="1:9" ht="11.25" customHeight="1">
      <c r="A53" s="1775" t="s">
        <v>2258</v>
      </c>
      <c r="B53" s="1775" t="s">
        <v>16</v>
      </c>
      <c r="C53" s="1775" t="s">
        <v>2444</v>
      </c>
      <c r="D53" s="1775" t="s">
        <v>2445</v>
      </c>
      <c r="E53" s="1775" t="s">
        <v>2446</v>
      </c>
      <c r="F53" s="1775" t="s">
        <v>2447</v>
      </c>
      <c r="G53" s="1775" t="s">
        <v>2448</v>
      </c>
      <c r="H53" s="1775" t="s">
        <v>28</v>
      </c>
      <c r="I53" s="1775" t="s">
        <v>816</v>
      </c>
    </row>
    <row r="54" spans="1:9" ht="11.25" customHeight="1">
      <c r="A54" s="1775" t="s">
        <v>2258</v>
      </c>
      <c r="B54" s="1775" t="s">
        <v>16</v>
      </c>
      <c r="C54" s="1775" t="s">
        <v>2449</v>
      </c>
      <c r="D54" s="1775" t="s">
        <v>2450</v>
      </c>
      <c r="E54" s="1775" t="s">
        <v>2451</v>
      </c>
      <c r="F54" s="1775" t="s">
        <v>2271</v>
      </c>
      <c r="G54" s="1775" t="s">
        <v>2452</v>
      </c>
      <c r="H54" s="1775" t="s">
        <v>28</v>
      </c>
      <c r="I54" s="1775" t="s">
        <v>816</v>
      </c>
    </row>
    <row r="55" spans="1:9" ht="11.25" customHeight="1">
      <c r="A55" s="1775" t="s">
        <v>2258</v>
      </c>
      <c r="B55" s="1775" t="s">
        <v>16</v>
      </c>
      <c r="C55" s="1775" t="s">
        <v>2453</v>
      </c>
      <c r="D55" s="1775" t="s">
        <v>2454</v>
      </c>
      <c r="E55" s="1775" t="s">
        <v>2455</v>
      </c>
      <c r="F55" s="1775" t="s">
        <v>2266</v>
      </c>
      <c r="G55" s="1775" t="s">
        <v>28</v>
      </c>
      <c r="H55" s="1775" t="s">
        <v>28</v>
      </c>
      <c r="I55" s="1775" t="s">
        <v>816</v>
      </c>
    </row>
    <row r="56" spans="1:9" ht="11.25" customHeight="1">
      <c r="A56" s="1775" t="s">
        <v>2258</v>
      </c>
      <c r="B56" s="1775" t="s">
        <v>16</v>
      </c>
      <c r="C56" s="1775" t="s">
        <v>2456</v>
      </c>
      <c r="D56" s="1775" t="s">
        <v>2457</v>
      </c>
      <c r="E56" s="1775" t="s">
        <v>2458</v>
      </c>
      <c r="F56" s="1775" t="s">
        <v>2266</v>
      </c>
      <c r="G56" s="1775" t="s">
        <v>2459</v>
      </c>
      <c r="H56" s="1775" t="s">
        <v>28</v>
      </c>
      <c r="I56" s="1775" t="s">
        <v>816</v>
      </c>
    </row>
    <row r="57" spans="1:9" ht="11.25" customHeight="1">
      <c r="A57" s="1775" t="s">
        <v>2258</v>
      </c>
      <c r="B57" s="1775" t="s">
        <v>16</v>
      </c>
      <c r="C57" s="1775" t="s">
        <v>2460</v>
      </c>
      <c r="D57" s="1775" t="s">
        <v>2461</v>
      </c>
      <c r="E57" s="1775" t="s">
        <v>2462</v>
      </c>
      <c r="F57" s="1775" t="s">
        <v>2463</v>
      </c>
      <c r="G57" s="1775" t="s">
        <v>28</v>
      </c>
      <c r="H57" s="1775" t="s">
        <v>28</v>
      </c>
      <c r="I57" s="1775" t="s">
        <v>816</v>
      </c>
    </row>
    <row r="58" spans="1:9" ht="11.25" customHeight="1">
      <c r="A58" s="1775" t="s">
        <v>2258</v>
      </c>
      <c r="B58" s="1775" t="s">
        <v>16</v>
      </c>
      <c r="C58" s="1775" t="s">
        <v>2464</v>
      </c>
      <c r="D58" s="1775" t="s">
        <v>2465</v>
      </c>
      <c r="E58" s="1775" t="s">
        <v>2466</v>
      </c>
      <c r="F58" s="1775" t="s">
        <v>2329</v>
      </c>
      <c r="G58" s="1775" t="s">
        <v>28</v>
      </c>
      <c r="H58" s="1775" t="s">
        <v>28</v>
      </c>
      <c r="I58" s="1775" t="s">
        <v>816</v>
      </c>
    </row>
    <row r="59" spans="1:9" ht="11.25" customHeight="1">
      <c r="A59" s="1775" t="s">
        <v>2258</v>
      </c>
      <c r="B59" s="1775" t="s">
        <v>16</v>
      </c>
      <c r="C59" s="1775" t="s">
        <v>2467</v>
      </c>
      <c r="D59" s="1775" t="s">
        <v>2468</v>
      </c>
      <c r="E59" s="1775" t="s">
        <v>2469</v>
      </c>
      <c r="F59" s="1775" t="s">
        <v>2271</v>
      </c>
      <c r="G59" s="1775" t="s">
        <v>28</v>
      </c>
      <c r="H59" s="1775" t="s">
        <v>28</v>
      </c>
      <c r="I59" s="1775" t="s">
        <v>816</v>
      </c>
    </row>
    <row r="60" spans="1:9" ht="11.25" customHeight="1">
      <c r="A60" s="1775" t="s">
        <v>2258</v>
      </c>
      <c r="B60" s="1775" t="s">
        <v>16</v>
      </c>
      <c r="C60" s="1775" t="s">
        <v>2470</v>
      </c>
      <c r="D60" s="1775" t="s">
        <v>2471</v>
      </c>
      <c r="E60" s="1775" t="s">
        <v>2472</v>
      </c>
      <c r="F60" s="1775" t="s">
        <v>2262</v>
      </c>
      <c r="G60" s="1775" t="s">
        <v>28</v>
      </c>
      <c r="H60" s="1775" t="s">
        <v>28</v>
      </c>
      <c r="I60" s="1775" t="s">
        <v>816</v>
      </c>
    </row>
    <row r="61" spans="1:9" ht="11.25" customHeight="1">
      <c r="A61" s="1775" t="s">
        <v>2258</v>
      </c>
      <c r="B61" s="1775" t="s">
        <v>16</v>
      </c>
      <c r="C61" s="1775" t="s">
        <v>2473</v>
      </c>
      <c r="D61" s="1775" t="s">
        <v>2474</v>
      </c>
      <c r="E61" s="1775" t="s">
        <v>2475</v>
      </c>
      <c r="F61" s="1775" t="s">
        <v>2476</v>
      </c>
      <c r="G61" s="1775" t="s">
        <v>28</v>
      </c>
      <c r="H61" s="1775" t="s">
        <v>28</v>
      </c>
      <c r="I61" s="1775" t="s">
        <v>816</v>
      </c>
    </row>
    <row r="62" spans="1:9" ht="11.25" customHeight="1">
      <c r="A62" s="1775" t="s">
        <v>2258</v>
      </c>
      <c r="B62" s="1775" t="s">
        <v>16</v>
      </c>
      <c r="C62" s="1775" t="s">
        <v>2477</v>
      </c>
      <c r="D62" s="1775" t="s">
        <v>2478</v>
      </c>
      <c r="E62" s="1775" t="s">
        <v>2479</v>
      </c>
      <c r="F62" s="1775" t="s">
        <v>2480</v>
      </c>
      <c r="G62" s="1775" t="s">
        <v>28</v>
      </c>
      <c r="H62" s="1775" t="s">
        <v>28</v>
      </c>
      <c r="I62" s="1775" t="s">
        <v>816</v>
      </c>
    </row>
    <row r="63" spans="1:9" ht="11.25" customHeight="1">
      <c r="A63" s="1775" t="s">
        <v>2258</v>
      </c>
      <c r="B63" s="1775" t="s">
        <v>16</v>
      </c>
      <c r="C63" s="1775" t="s">
        <v>2481</v>
      </c>
      <c r="D63" s="1775" t="s">
        <v>2482</v>
      </c>
      <c r="E63" s="1775" t="s">
        <v>2483</v>
      </c>
      <c r="F63" s="1775" t="s">
        <v>2271</v>
      </c>
      <c r="G63" s="1775" t="s">
        <v>28</v>
      </c>
      <c r="H63" s="1775" t="s">
        <v>28</v>
      </c>
      <c r="I63" s="1775" t="s">
        <v>816</v>
      </c>
    </row>
    <row r="64" spans="1:9" ht="11.25" customHeight="1">
      <c r="A64" s="1775" t="s">
        <v>2258</v>
      </c>
      <c r="B64" s="1775" t="s">
        <v>16</v>
      </c>
      <c r="C64" s="1775" t="s">
        <v>2484</v>
      </c>
      <c r="D64" s="1775" t="s">
        <v>2485</v>
      </c>
      <c r="E64" s="1775" t="s">
        <v>2486</v>
      </c>
      <c r="F64" s="1775" t="s">
        <v>2271</v>
      </c>
      <c r="G64" s="1775" t="s">
        <v>28</v>
      </c>
      <c r="H64" s="1775" t="s">
        <v>28</v>
      </c>
      <c r="I64" s="1775" t="s">
        <v>816</v>
      </c>
    </row>
    <row r="65" spans="1:9" ht="11.25" customHeight="1">
      <c r="A65" s="1775" t="s">
        <v>2258</v>
      </c>
      <c r="B65" s="1775" t="s">
        <v>16</v>
      </c>
      <c r="C65" s="1775" t="s">
        <v>2487</v>
      </c>
      <c r="D65" s="1775" t="s">
        <v>2488</v>
      </c>
      <c r="E65" s="1775" t="s">
        <v>2489</v>
      </c>
      <c r="F65" s="1775" t="s">
        <v>2490</v>
      </c>
      <c r="G65" s="1775" t="s">
        <v>28</v>
      </c>
      <c r="H65" s="1775" t="s">
        <v>28</v>
      </c>
      <c r="I65" s="1775" t="s">
        <v>816</v>
      </c>
    </row>
    <row r="66" spans="1:9" ht="11.25" customHeight="1">
      <c r="A66" s="1775" t="s">
        <v>2258</v>
      </c>
      <c r="B66" s="1775" t="s">
        <v>16</v>
      </c>
      <c r="C66" s="1775" t="s">
        <v>2491</v>
      </c>
      <c r="D66" s="1775" t="s">
        <v>2492</v>
      </c>
      <c r="E66" s="1775" t="s">
        <v>2493</v>
      </c>
      <c r="F66" s="1775" t="s">
        <v>2463</v>
      </c>
      <c r="G66" s="1775" t="s">
        <v>28</v>
      </c>
      <c r="H66" s="1775" t="s">
        <v>28</v>
      </c>
      <c r="I66" s="1775" t="s">
        <v>816</v>
      </c>
    </row>
    <row r="67" spans="1:9" ht="11.25" customHeight="1">
      <c r="A67" s="1775" t="s">
        <v>2258</v>
      </c>
      <c r="B67" s="1775" t="s">
        <v>16</v>
      </c>
      <c r="C67" s="1775" t="s">
        <v>2494</v>
      </c>
      <c r="D67" s="1775" t="s">
        <v>2495</v>
      </c>
      <c r="E67" s="1775" t="s">
        <v>2496</v>
      </c>
      <c r="F67" s="1775" t="s">
        <v>2271</v>
      </c>
      <c r="G67" s="1775" t="s">
        <v>28</v>
      </c>
      <c r="H67" s="1775" t="s">
        <v>28</v>
      </c>
      <c r="I67" s="1775" t="s">
        <v>816</v>
      </c>
    </row>
    <row r="68" spans="1:9" ht="11.25" customHeight="1">
      <c r="A68" s="1775" t="s">
        <v>2258</v>
      </c>
      <c r="B68" s="1775" t="s">
        <v>16</v>
      </c>
      <c r="C68" s="1775" t="s">
        <v>2497</v>
      </c>
      <c r="D68" s="1775" t="s">
        <v>2498</v>
      </c>
      <c r="E68" s="1775" t="s">
        <v>2499</v>
      </c>
      <c r="F68" s="1775" t="s">
        <v>2500</v>
      </c>
      <c r="G68" s="1775" t="s">
        <v>28</v>
      </c>
      <c r="H68" s="1775" t="s">
        <v>28</v>
      </c>
      <c r="I68" s="1775" t="s">
        <v>816</v>
      </c>
    </row>
    <row r="69" spans="1:9" ht="11.25" customHeight="1">
      <c r="A69" s="1775" t="s">
        <v>2258</v>
      </c>
      <c r="B69" s="1775" t="s">
        <v>16</v>
      </c>
      <c r="C69" s="1775" t="s">
        <v>2501</v>
      </c>
      <c r="D69" s="1775" t="s">
        <v>2502</v>
      </c>
      <c r="E69" s="1775" t="s">
        <v>2503</v>
      </c>
      <c r="F69" s="1775" t="s">
        <v>2504</v>
      </c>
      <c r="G69" s="1775" t="s">
        <v>28</v>
      </c>
      <c r="H69" s="1775" t="s">
        <v>28</v>
      </c>
      <c r="I69" s="1775" t="s">
        <v>816</v>
      </c>
    </row>
    <row r="70" spans="1:9" ht="11.25" customHeight="1">
      <c r="A70" s="1775" t="s">
        <v>2258</v>
      </c>
      <c r="B70" s="1775" t="s">
        <v>16</v>
      </c>
      <c r="C70" s="1775" t="s">
        <v>2505</v>
      </c>
      <c r="D70" s="1775" t="s">
        <v>2506</v>
      </c>
      <c r="E70" s="1775" t="s">
        <v>2507</v>
      </c>
      <c r="F70" s="1775" t="s">
        <v>2508</v>
      </c>
      <c r="G70" s="1775" t="s">
        <v>2509</v>
      </c>
      <c r="H70" s="1775" t="s">
        <v>28</v>
      </c>
      <c r="I70" s="1775" t="s">
        <v>816</v>
      </c>
    </row>
    <row r="71" spans="1:9" ht="11.25" customHeight="1">
      <c r="A71" s="1775" t="s">
        <v>2258</v>
      </c>
      <c r="B71" s="1775" t="s">
        <v>16</v>
      </c>
      <c r="C71" s="1775" t="s">
        <v>2510</v>
      </c>
      <c r="D71" s="1775" t="s">
        <v>2511</v>
      </c>
      <c r="E71" s="1775" t="s">
        <v>2275</v>
      </c>
      <c r="F71" s="1775" t="s">
        <v>2512</v>
      </c>
      <c r="G71" s="1775" t="s">
        <v>28</v>
      </c>
      <c r="H71" s="1775" t="s">
        <v>28</v>
      </c>
      <c r="I71" s="1775" t="s">
        <v>816</v>
      </c>
    </row>
    <row r="72" spans="1:9" ht="11.25" customHeight="1">
      <c r="A72" s="1775" t="s">
        <v>2258</v>
      </c>
      <c r="B72" s="1775" t="s">
        <v>16</v>
      </c>
      <c r="C72" s="1775" t="s">
        <v>2513</v>
      </c>
      <c r="D72" s="1775" t="s">
        <v>2514</v>
      </c>
      <c r="E72" s="1775" t="s">
        <v>2290</v>
      </c>
      <c r="F72" s="1775" t="s">
        <v>2346</v>
      </c>
      <c r="G72" s="1775" t="s">
        <v>28</v>
      </c>
      <c r="H72" s="1775" t="s">
        <v>28</v>
      </c>
      <c r="I72" s="1775" t="s">
        <v>816</v>
      </c>
    </row>
    <row r="73" spans="1:9" ht="11.25" customHeight="1">
      <c r="A73" s="1775" t="s">
        <v>2258</v>
      </c>
      <c r="B73" s="1775" t="s">
        <v>16</v>
      </c>
      <c r="C73" s="1775" t="s">
        <v>2515</v>
      </c>
      <c r="D73" s="1775" t="s">
        <v>2516</v>
      </c>
      <c r="E73" s="1775" t="s">
        <v>2517</v>
      </c>
      <c r="F73" s="1775" t="s">
        <v>2447</v>
      </c>
      <c r="G73" s="1775" t="s">
        <v>28</v>
      </c>
      <c r="H73" s="1775" t="s">
        <v>28</v>
      </c>
      <c r="I73" s="1775" t="s">
        <v>816</v>
      </c>
    </row>
    <row r="74" spans="1:9" ht="11.25" customHeight="1">
      <c r="A74" s="1775" t="s">
        <v>2258</v>
      </c>
      <c r="B74" s="1775" t="s">
        <v>16</v>
      </c>
      <c r="C74" s="1775" t="s">
        <v>2518</v>
      </c>
      <c r="D74" s="1775" t="s">
        <v>2519</v>
      </c>
      <c r="E74" s="1775" t="s">
        <v>2520</v>
      </c>
      <c r="F74" s="1775" t="s">
        <v>2447</v>
      </c>
      <c r="G74" s="1775" t="s">
        <v>28</v>
      </c>
      <c r="H74" s="1775" t="s">
        <v>28</v>
      </c>
      <c r="I74" s="1775" t="s">
        <v>816</v>
      </c>
    </row>
    <row r="75" spans="1:9" ht="11.25" customHeight="1">
      <c r="A75" s="1775" t="s">
        <v>2258</v>
      </c>
      <c r="B75" s="1775" t="s">
        <v>16</v>
      </c>
      <c r="C75" s="1775" t="s">
        <v>2521</v>
      </c>
      <c r="D75" s="1775" t="s">
        <v>2522</v>
      </c>
      <c r="E75" s="1775" t="s">
        <v>2309</v>
      </c>
      <c r="F75" s="1775" t="s">
        <v>2523</v>
      </c>
      <c r="G75" s="1775" t="s">
        <v>28</v>
      </c>
      <c r="H75" s="1775" t="s">
        <v>28</v>
      </c>
      <c r="I75" s="1775" t="s">
        <v>816</v>
      </c>
    </row>
    <row r="76" spans="1:9" ht="11.25" customHeight="1">
      <c r="A76" s="1775" t="s">
        <v>2258</v>
      </c>
      <c r="B76" s="1775" t="s">
        <v>16</v>
      </c>
      <c r="C76" s="1775" t="s">
        <v>2524</v>
      </c>
      <c r="D76" s="1775" t="s">
        <v>2525</v>
      </c>
      <c r="E76" s="1775" t="s">
        <v>2295</v>
      </c>
      <c r="F76" s="1775" t="s">
        <v>2279</v>
      </c>
      <c r="G76" s="1775" t="s">
        <v>28</v>
      </c>
      <c r="H76" s="1775" t="s">
        <v>28</v>
      </c>
      <c r="I76" s="1775" t="s">
        <v>816</v>
      </c>
    </row>
    <row r="77" spans="1:9" ht="11.25" customHeight="1">
      <c r="A77" s="1775" t="s">
        <v>2258</v>
      </c>
      <c r="B77" s="1775" t="s">
        <v>16</v>
      </c>
      <c r="C77" s="1775" t="s">
        <v>2526</v>
      </c>
      <c r="D77" s="1775" t="s">
        <v>2527</v>
      </c>
      <c r="E77" s="1775" t="s">
        <v>2528</v>
      </c>
      <c r="F77" s="1775" t="s">
        <v>2529</v>
      </c>
      <c r="G77" s="1775" t="s">
        <v>28</v>
      </c>
      <c r="H77" s="1775" t="s">
        <v>28</v>
      </c>
      <c r="I77" s="1775" t="s">
        <v>816</v>
      </c>
    </row>
    <row r="78" spans="1:9" ht="11.25" customHeight="1">
      <c r="A78" s="1775" t="s">
        <v>2258</v>
      </c>
      <c r="B78" s="1775" t="s">
        <v>16</v>
      </c>
      <c r="C78" s="1775" t="s">
        <v>2263</v>
      </c>
      <c r="D78" s="1775" t="s">
        <v>2264</v>
      </c>
      <c r="E78" s="1775" t="s">
        <v>2265</v>
      </c>
      <c r="F78" s="1775" t="s">
        <v>2266</v>
      </c>
      <c r="G78" s="1775" t="s">
        <v>2267</v>
      </c>
      <c r="H78" s="1775" t="s">
        <v>28</v>
      </c>
      <c r="I78" s="1775" t="s">
        <v>902</v>
      </c>
    </row>
    <row r="79" spans="1:9" ht="11.25" customHeight="1">
      <c r="A79" s="1775" t="s">
        <v>2258</v>
      </c>
      <c r="B79" s="1775" t="s">
        <v>16</v>
      </c>
      <c r="C79" s="1775" t="s">
        <v>2277</v>
      </c>
      <c r="D79" s="1775" t="s">
        <v>2278</v>
      </c>
      <c r="E79" s="1775" t="s">
        <v>2275</v>
      </c>
      <c r="F79" s="1775" t="s">
        <v>2279</v>
      </c>
      <c r="G79" s="1775" t="s">
        <v>28</v>
      </c>
      <c r="H79" s="1775" t="s">
        <v>28</v>
      </c>
      <c r="I79" s="1775" t="s">
        <v>902</v>
      </c>
    </row>
    <row r="80" spans="1:9" ht="11.25" customHeight="1">
      <c r="A80" s="1775" t="s">
        <v>2258</v>
      </c>
      <c r="B80" s="1775" t="s">
        <v>16</v>
      </c>
      <c r="C80" s="1775" t="s">
        <v>2280</v>
      </c>
      <c r="D80" s="1775" t="s">
        <v>2281</v>
      </c>
      <c r="E80" s="1775" t="s">
        <v>2282</v>
      </c>
      <c r="F80" s="1775" t="s">
        <v>2283</v>
      </c>
      <c r="G80" s="1775" t="s">
        <v>28</v>
      </c>
      <c r="H80" s="1775" t="s">
        <v>28</v>
      </c>
      <c r="I80" s="1775" t="s">
        <v>902</v>
      </c>
    </row>
    <row r="81" spans="1:9" ht="11.25" customHeight="1">
      <c r="A81" s="1775" t="s">
        <v>2258</v>
      </c>
      <c r="B81" s="1775" t="s">
        <v>16</v>
      </c>
      <c r="C81" s="1775" t="s">
        <v>2293</v>
      </c>
      <c r="D81" s="1775" t="s">
        <v>2294</v>
      </c>
      <c r="E81" s="1775" t="s">
        <v>2295</v>
      </c>
      <c r="F81" s="1775" t="s">
        <v>2296</v>
      </c>
      <c r="G81" s="1775" t="s">
        <v>28</v>
      </c>
      <c r="H81" s="1775" t="s">
        <v>28</v>
      </c>
      <c r="I81" s="1775" t="s">
        <v>902</v>
      </c>
    </row>
    <row r="82" spans="1:9" ht="11.25" customHeight="1">
      <c r="A82" s="1775" t="s">
        <v>2258</v>
      </c>
      <c r="B82" s="1775" t="s">
        <v>16</v>
      </c>
      <c r="C82" s="1775" t="s">
        <v>2530</v>
      </c>
      <c r="D82" s="1775" t="s">
        <v>2531</v>
      </c>
      <c r="E82" s="1775" t="s">
        <v>2309</v>
      </c>
      <c r="F82" s="1775" t="s">
        <v>2532</v>
      </c>
      <c r="G82" s="1775" t="s">
        <v>2533</v>
      </c>
      <c r="H82" s="1775" t="s">
        <v>28</v>
      </c>
      <c r="I82" s="1775" t="s">
        <v>902</v>
      </c>
    </row>
    <row r="83" spans="1:9" ht="11.25" customHeight="1">
      <c r="A83" s="1775" t="s">
        <v>2258</v>
      </c>
      <c r="B83" s="1775" t="s">
        <v>16</v>
      </c>
      <c r="C83" s="1775" t="s">
        <v>2314</v>
      </c>
      <c r="D83" s="1775" t="s">
        <v>2315</v>
      </c>
      <c r="E83" s="1775" t="s">
        <v>2316</v>
      </c>
      <c r="F83" s="1775" t="s">
        <v>2271</v>
      </c>
      <c r="G83" s="1775" t="s">
        <v>28</v>
      </c>
      <c r="H83" s="1775" t="s">
        <v>28</v>
      </c>
      <c r="I83" s="1775" t="s">
        <v>902</v>
      </c>
    </row>
    <row r="84" spans="1:9" ht="11.25" customHeight="1">
      <c r="A84" s="1775" t="s">
        <v>2258</v>
      </c>
      <c r="B84" s="1775" t="s">
        <v>16</v>
      </c>
      <c r="C84" s="1775" t="s">
        <v>2317</v>
      </c>
      <c r="D84" s="1775" t="s">
        <v>2318</v>
      </c>
      <c r="E84" s="1775" t="s">
        <v>2319</v>
      </c>
      <c r="F84" s="1775" t="s">
        <v>584</v>
      </c>
      <c r="G84" s="1775" t="s">
        <v>28</v>
      </c>
      <c r="H84" s="1775" t="s">
        <v>28</v>
      </c>
      <c r="I84" s="1775" t="s">
        <v>902</v>
      </c>
    </row>
    <row r="85" spans="1:9" ht="11.25" customHeight="1">
      <c r="A85" s="1775" t="s">
        <v>2258</v>
      </c>
      <c r="B85" s="1775" t="s">
        <v>16</v>
      </c>
      <c r="C85" s="1775" t="s">
        <v>2320</v>
      </c>
      <c r="D85" s="1775" t="s">
        <v>2321</v>
      </c>
      <c r="E85" s="1775" t="s">
        <v>2322</v>
      </c>
      <c r="F85" s="1775" t="s">
        <v>2279</v>
      </c>
      <c r="G85" s="1775" t="s">
        <v>2323</v>
      </c>
      <c r="H85" s="1775" t="s">
        <v>28</v>
      </c>
      <c r="I85" s="1775" t="s">
        <v>902</v>
      </c>
    </row>
    <row r="86" spans="1:9" ht="11.25" customHeight="1">
      <c r="A86" s="1775" t="s">
        <v>2258</v>
      </c>
      <c r="B86" s="1775" t="s">
        <v>16</v>
      </c>
      <c r="C86" s="1775" t="s">
        <v>28</v>
      </c>
      <c r="D86" s="1775" t="s">
        <v>2324</v>
      </c>
      <c r="E86" s="1775" t="s">
        <v>2325</v>
      </c>
      <c r="F86" s="1775" t="s">
        <v>2271</v>
      </c>
      <c r="G86" s="1775" t="s">
        <v>28</v>
      </c>
      <c r="H86" s="1775" t="s">
        <v>28</v>
      </c>
      <c r="I86" s="1775" t="s">
        <v>902</v>
      </c>
    </row>
    <row r="87" spans="1:9" ht="11.25" customHeight="1">
      <c r="A87" s="1775" t="s">
        <v>2258</v>
      </c>
      <c r="B87" s="1775" t="s">
        <v>16</v>
      </c>
      <c r="C87" s="1775" t="s">
        <v>13</v>
      </c>
      <c r="D87" s="1775" t="s">
        <v>47</v>
      </c>
      <c r="E87" s="1775" t="s">
        <v>50</v>
      </c>
      <c r="F87" s="1775" t="s">
        <v>52</v>
      </c>
      <c r="G87" s="1775" t="s">
        <v>28</v>
      </c>
      <c r="H87" s="1775" t="s">
        <v>28</v>
      </c>
      <c r="I87" s="1775" t="s">
        <v>902</v>
      </c>
    </row>
    <row r="88" spans="1:9" ht="11.25" customHeight="1">
      <c r="A88" s="1775" t="s">
        <v>2258</v>
      </c>
      <c r="B88" s="1775" t="s">
        <v>16</v>
      </c>
      <c r="C88" s="1775" t="s">
        <v>2340</v>
      </c>
      <c r="D88" s="1775" t="s">
        <v>2341</v>
      </c>
      <c r="E88" s="1775" t="s">
        <v>2342</v>
      </c>
      <c r="F88" s="1775" t="s">
        <v>2271</v>
      </c>
      <c r="G88" s="1775" t="s">
        <v>28</v>
      </c>
      <c r="H88" s="1775" t="s">
        <v>28</v>
      </c>
      <c r="I88" s="1775" t="s">
        <v>902</v>
      </c>
    </row>
    <row r="89" spans="1:9" ht="11.25" customHeight="1">
      <c r="A89" s="1775" t="s">
        <v>2258</v>
      </c>
      <c r="B89" s="1775" t="s">
        <v>16</v>
      </c>
      <c r="C89" s="1775" t="s">
        <v>2343</v>
      </c>
      <c r="D89" s="1775" t="s">
        <v>2344</v>
      </c>
      <c r="E89" s="1775" t="s">
        <v>2345</v>
      </c>
      <c r="F89" s="1775" t="s">
        <v>2346</v>
      </c>
      <c r="G89" s="1775" t="s">
        <v>28</v>
      </c>
      <c r="H89" s="1775" t="s">
        <v>28</v>
      </c>
      <c r="I89" s="1775" t="s">
        <v>902</v>
      </c>
    </row>
    <row r="90" spans="1:9" ht="11.25" customHeight="1">
      <c r="A90" s="1775" t="s">
        <v>2258</v>
      </c>
      <c r="B90" s="1775" t="s">
        <v>16</v>
      </c>
      <c r="C90" s="1775" t="s">
        <v>2347</v>
      </c>
      <c r="D90" s="1775" t="s">
        <v>2348</v>
      </c>
      <c r="E90" s="1775" t="s">
        <v>2349</v>
      </c>
      <c r="F90" s="1775" t="s">
        <v>52</v>
      </c>
      <c r="G90" s="1775" t="s">
        <v>28</v>
      </c>
      <c r="H90" s="1775" t="s">
        <v>28</v>
      </c>
      <c r="I90" s="1775" t="s">
        <v>902</v>
      </c>
    </row>
    <row r="91" spans="1:9" ht="11.25" customHeight="1">
      <c r="A91" s="1775" t="s">
        <v>2258</v>
      </c>
      <c r="B91" s="1775" t="s">
        <v>16</v>
      </c>
      <c r="C91" s="1775" t="s">
        <v>2353</v>
      </c>
      <c r="D91" s="1775" t="s">
        <v>2354</v>
      </c>
      <c r="E91" s="1775" t="s">
        <v>2355</v>
      </c>
      <c r="F91" s="1775" t="s">
        <v>2346</v>
      </c>
      <c r="G91" s="1775" t="s">
        <v>28</v>
      </c>
      <c r="H91" s="1775" t="s">
        <v>28</v>
      </c>
      <c r="I91" s="1775" t="s">
        <v>902</v>
      </c>
    </row>
    <row r="92" spans="1:9" ht="11.25" customHeight="1">
      <c r="A92" s="1775" t="s">
        <v>2258</v>
      </c>
      <c r="B92" s="1775" t="s">
        <v>16</v>
      </c>
      <c r="C92" s="1775" t="s">
        <v>2370</v>
      </c>
      <c r="D92" s="1775" t="s">
        <v>2371</v>
      </c>
      <c r="E92" s="1775" t="s">
        <v>2372</v>
      </c>
      <c r="F92" s="1775" t="s">
        <v>2266</v>
      </c>
      <c r="G92" s="1775" t="s">
        <v>28</v>
      </c>
      <c r="H92" s="1775" t="s">
        <v>28</v>
      </c>
      <c r="I92" s="1775" t="s">
        <v>902</v>
      </c>
    </row>
    <row r="93" spans="1:9" ht="11.25" customHeight="1">
      <c r="A93" s="1775" t="s">
        <v>2258</v>
      </c>
      <c r="B93" s="1775" t="s">
        <v>16</v>
      </c>
      <c r="C93" s="1775" t="s">
        <v>2373</v>
      </c>
      <c r="D93" s="1775" t="s">
        <v>2374</v>
      </c>
      <c r="E93" s="1775" t="s">
        <v>2375</v>
      </c>
      <c r="F93" s="1775" t="s">
        <v>2376</v>
      </c>
      <c r="G93" s="1775" t="s">
        <v>28</v>
      </c>
      <c r="H93" s="1775" t="s">
        <v>28</v>
      </c>
      <c r="I93" s="1775" t="s">
        <v>902</v>
      </c>
    </row>
    <row r="94" spans="1:9" ht="11.25" customHeight="1">
      <c r="A94" s="1775" t="s">
        <v>2258</v>
      </c>
      <c r="B94" s="1775" t="s">
        <v>16</v>
      </c>
      <c r="C94" s="1775" t="s">
        <v>2390</v>
      </c>
      <c r="D94" s="1775" t="s">
        <v>2391</v>
      </c>
      <c r="E94" s="1775" t="s">
        <v>2392</v>
      </c>
      <c r="F94" s="1775" t="s">
        <v>2346</v>
      </c>
      <c r="G94" s="1775" t="s">
        <v>28</v>
      </c>
      <c r="H94" s="1775" t="s">
        <v>28</v>
      </c>
      <c r="I94" s="1775" t="s">
        <v>902</v>
      </c>
    </row>
    <row r="95" spans="1:9" ht="11.25" customHeight="1">
      <c r="A95" s="1775" t="s">
        <v>2258</v>
      </c>
      <c r="B95" s="1775" t="s">
        <v>16</v>
      </c>
      <c r="C95" s="1775" t="s">
        <v>2396</v>
      </c>
      <c r="D95" s="1775" t="s">
        <v>2397</v>
      </c>
      <c r="E95" s="1775" t="s">
        <v>2398</v>
      </c>
      <c r="F95" s="1775" t="s">
        <v>2399</v>
      </c>
      <c r="G95" s="1775" t="s">
        <v>2400</v>
      </c>
      <c r="H95" s="1775" t="s">
        <v>28</v>
      </c>
      <c r="I95" s="1775" t="s">
        <v>902</v>
      </c>
    </row>
    <row r="96" spans="1:9" ht="11.25" customHeight="1">
      <c r="A96" s="1775" t="s">
        <v>2258</v>
      </c>
      <c r="B96" s="1775" t="s">
        <v>16</v>
      </c>
      <c r="C96" s="1775" t="s">
        <v>2401</v>
      </c>
      <c r="D96" s="1775" t="s">
        <v>2402</v>
      </c>
      <c r="E96" s="1775" t="s">
        <v>2403</v>
      </c>
      <c r="F96" s="1775" t="s">
        <v>2404</v>
      </c>
      <c r="G96" s="1775" t="s">
        <v>28</v>
      </c>
      <c r="H96" s="1775" t="s">
        <v>28</v>
      </c>
      <c r="I96" s="1775" t="s">
        <v>902</v>
      </c>
    </row>
    <row r="97" spans="1:9" ht="11.25" customHeight="1">
      <c r="A97" s="1775" t="s">
        <v>2258</v>
      </c>
      <c r="B97" s="1775" t="s">
        <v>16</v>
      </c>
      <c r="C97" s="1775" t="s">
        <v>2405</v>
      </c>
      <c r="D97" s="1775" t="s">
        <v>2406</v>
      </c>
      <c r="E97" s="1775" t="s">
        <v>2407</v>
      </c>
      <c r="F97" s="1775" t="s">
        <v>2346</v>
      </c>
      <c r="G97" s="1775" t="s">
        <v>28</v>
      </c>
      <c r="H97" s="1775" t="s">
        <v>28</v>
      </c>
      <c r="I97" s="1775" t="s">
        <v>902</v>
      </c>
    </row>
    <row r="98" spans="1:9" ht="11.25" customHeight="1">
      <c r="A98" s="1775" t="s">
        <v>2258</v>
      </c>
      <c r="B98" s="1775" t="s">
        <v>16</v>
      </c>
      <c r="C98" s="1775" t="s">
        <v>2412</v>
      </c>
      <c r="D98" s="1775" t="s">
        <v>2413</v>
      </c>
      <c r="E98" s="1775" t="s">
        <v>2414</v>
      </c>
      <c r="F98" s="1775" t="s">
        <v>2346</v>
      </c>
      <c r="G98" s="1775" t="s">
        <v>28</v>
      </c>
      <c r="H98" s="1775" t="s">
        <v>28</v>
      </c>
      <c r="I98" s="1775" t="s">
        <v>902</v>
      </c>
    </row>
    <row r="99" spans="1:9" ht="11.25" customHeight="1">
      <c r="A99" s="1775" t="s">
        <v>2258</v>
      </c>
      <c r="B99" s="1775" t="s">
        <v>16</v>
      </c>
      <c r="C99" s="1775" t="s">
        <v>2415</v>
      </c>
      <c r="D99" s="1775" t="s">
        <v>2416</v>
      </c>
      <c r="E99" s="1775" t="s">
        <v>2417</v>
      </c>
      <c r="F99" s="1775" t="s">
        <v>2346</v>
      </c>
      <c r="G99" s="1775" t="s">
        <v>2418</v>
      </c>
      <c r="H99" s="1775" t="s">
        <v>28</v>
      </c>
      <c r="I99" s="1775" t="s">
        <v>902</v>
      </c>
    </row>
    <row r="100" spans="1:9" ht="11.25" customHeight="1">
      <c r="A100" s="1775" t="s">
        <v>2258</v>
      </c>
      <c r="B100" s="1775" t="s">
        <v>16</v>
      </c>
      <c r="C100" s="1775" t="s">
        <v>2422</v>
      </c>
      <c r="D100" s="1775" t="s">
        <v>2423</v>
      </c>
      <c r="E100" s="1775" t="s">
        <v>2424</v>
      </c>
      <c r="F100" s="1775" t="s">
        <v>2425</v>
      </c>
      <c r="G100" s="1775" t="s">
        <v>28</v>
      </c>
      <c r="H100" s="1775" t="s">
        <v>28</v>
      </c>
      <c r="I100" s="1775" t="s">
        <v>902</v>
      </c>
    </row>
    <row r="101" spans="1:9" ht="11.25" customHeight="1">
      <c r="A101" s="1775" t="s">
        <v>2258</v>
      </c>
      <c r="B101" s="1775" t="s">
        <v>16</v>
      </c>
      <c r="C101" s="1775" t="s">
        <v>2426</v>
      </c>
      <c r="D101" s="1775" t="s">
        <v>2427</v>
      </c>
      <c r="E101" s="1775" t="s">
        <v>2428</v>
      </c>
      <c r="F101" s="1775" t="s">
        <v>2346</v>
      </c>
      <c r="G101" s="1775" t="s">
        <v>28</v>
      </c>
      <c r="H101" s="1775" t="s">
        <v>28</v>
      </c>
      <c r="I101" s="1775" t="s">
        <v>902</v>
      </c>
    </row>
    <row r="102" spans="1:9" ht="11.25" customHeight="1">
      <c r="A102" s="1775" t="s">
        <v>2258</v>
      </c>
      <c r="B102" s="1775" t="s">
        <v>16</v>
      </c>
      <c r="C102" s="1775" t="s">
        <v>2429</v>
      </c>
      <c r="D102" s="1775" t="s">
        <v>2430</v>
      </c>
      <c r="E102" s="1775" t="s">
        <v>2431</v>
      </c>
      <c r="F102" s="1775" t="s">
        <v>2432</v>
      </c>
      <c r="G102" s="1775" t="s">
        <v>2433</v>
      </c>
      <c r="H102" s="1775" t="s">
        <v>28</v>
      </c>
      <c r="I102" s="1775" t="s">
        <v>902</v>
      </c>
    </row>
    <row r="103" spans="1:9" ht="11.25" customHeight="1">
      <c r="A103" s="1775" t="s">
        <v>2258</v>
      </c>
      <c r="B103" s="1775" t="s">
        <v>16</v>
      </c>
      <c r="C103" s="1775" t="s">
        <v>2440</v>
      </c>
      <c r="D103" s="1775" t="s">
        <v>2441</v>
      </c>
      <c r="E103" s="1775" t="s">
        <v>2442</v>
      </c>
      <c r="F103" s="1775" t="s">
        <v>2443</v>
      </c>
      <c r="G103" s="1775" t="s">
        <v>28</v>
      </c>
      <c r="H103" s="1775" t="s">
        <v>28</v>
      </c>
      <c r="I103" s="1775" t="s">
        <v>902</v>
      </c>
    </row>
    <row r="104" spans="1:9" ht="11.25" customHeight="1">
      <c r="A104" s="1775" t="s">
        <v>2258</v>
      </c>
      <c r="B104" s="1775" t="s">
        <v>16</v>
      </c>
      <c r="C104" s="1775" t="s">
        <v>2444</v>
      </c>
      <c r="D104" s="1775" t="s">
        <v>2445</v>
      </c>
      <c r="E104" s="1775" t="s">
        <v>2446</v>
      </c>
      <c r="F104" s="1775" t="s">
        <v>2447</v>
      </c>
      <c r="G104" s="1775" t="s">
        <v>2448</v>
      </c>
      <c r="H104" s="1775" t="s">
        <v>28</v>
      </c>
      <c r="I104" s="1775" t="s">
        <v>902</v>
      </c>
    </row>
    <row r="105" spans="1:9" ht="11.25" customHeight="1">
      <c r="A105" s="1775" t="s">
        <v>2258</v>
      </c>
      <c r="B105" s="1775" t="s">
        <v>16</v>
      </c>
      <c r="C105" s="1775" t="s">
        <v>2453</v>
      </c>
      <c r="D105" s="1775" t="s">
        <v>2454</v>
      </c>
      <c r="E105" s="1775" t="s">
        <v>2455</v>
      </c>
      <c r="F105" s="1775" t="s">
        <v>2266</v>
      </c>
      <c r="G105" s="1775" t="s">
        <v>28</v>
      </c>
      <c r="H105" s="1775" t="s">
        <v>28</v>
      </c>
      <c r="I105" s="1775" t="s">
        <v>902</v>
      </c>
    </row>
    <row r="106" spans="1:9" ht="11.25" customHeight="1">
      <c r="A106" s="1775" t="s">
        <v>2258</v>
      </c>
      <c r="B106" s="1775" t="s">
        <v>16</v>
      </c>
      <c r="C106" s="1775" t="s">
        <v>2456</v>
      </c>
      <c r="D106" s="1775" t="s">
        <v>2457</v>
      </c>
      <c r="E106" s="1775" t="s">
        <v>2458</v>
      </c>
      <c r="F106" s="1775" t="s">
        <v>2266</v>
      </c>
      <c r="G106" s="1775" t="s">
        <v>2459</v>
      </c>
      <c r="H106" s="1775" t="s">
        <v>28</v>
      </c>
      <c r="I106" s="1775" t="s">
        <v>902</v>
      </c>
    </row>
    <row r="107" spans="1:9" ht="11.25" customHeight="1">
      <c r="A107" s="1775" t="s">
        <v>2258</v>
      </c>
      <c r="B107" s="1775" t="s">
        <v>16</v>
      </c>
      <c r="C107" s="1775" t="s">
        <v>2467</v>
      </c>
      <c r="D107" s="1775" t="s">
        <v>2468</v>
      </c>
      <c r="E107" s="1775" t="s">
        <v>2469</v>
      </c>
      <c r="F107" s="1775" t="s">
        <v>2271</v>
      </c>
      <c r="G107" s="1775" t="s">
        <v>28</v>
      </c>
      <c r="H107" s="1775" t="s">
        <v>28</v>
      </c>
      <c r="I107" s="1775" t="s">
        <v>902</v>
      </c>
    </row>
    <row r="108" spans="1:9" ht="11.25" customHeight="1">
      <c r="A108" s="1775" t="s">
        <v>2258</v>
      </c>
      <c r="B108" s="1775" t="s">
        <v>16</v>
      </c>
      <c r="C108" s="1775" t="s">
        <v>2487</v>
      </c>
      <c r="D108" s="1775" t="s">
        <v>2488</v>
      </c>
      <c r="E108" s="1775" t="s">
        <v>2489</v>
      </c>
      <c r="F108" s="1775" t="s">
        <v>2490</v>
      </c>
      <c r="G108" s="1775" t="s">
        <v>28</v>
      </c>
      <c r="H108" s="1775" t="s">
        <v>28</v>
      </c>
      <c r="I108" s="1775" t="s">
        <v>902</v>
      </c>
    </row>
    <row r="109" spans="1:9" ht="11.25" customHeight="1">
      <c r="A109" s="1775" t="s">
        <v>2258</v>
      </c>
      <c r="B109" s="1775" t="s">
        <v>16</v>
      </c>
      <c r="C109" s="1775" t="s">
        <v>2501</v>
      </c>
      <c r="D109" s="1775" t="s">
        <v>2502</v>
      </c>
      <c r="E109" s="1775" t="s">
        <v>2503</v>
      </c>
      <c r="F109" s="1775" t="s">
        <v>2504</v>
      </c>
      <c r="G109" s="1775" t="s">
        <v>28</v>
      </c>
      <c r="H109" s="1775" t="s">
        <v>28</v>
      </c>
      <c r="I109" s="1775" t="s">
        <v>902</v>
      </c>
    </row>
    <row r="110" spans="1:9" ht="11.25" customHeight="1">
      <c r="A110" s="1775" t="s">
        <v>2258</v>
      </c>
      <c r="B110" s="1775" t="s">
        <v>16</v>
      </c>
      <c r="C110" s="1775" t="s">
        <v>2505</v>
      </c>
      <c r="D110" s="1775" t="s">
        <v>2506</v>
      </c>
      <c r="E110" s="1775" t="s">
        <v>2507</v>
      </c>
      <c r="F110" s="1775" t="s">
        <v>2508</v>
      </c>
      <c r="G110" s="1775" t="s">
        <v>2509</v>
      </c>
      <c r="H110" s="1775" t="s">
        <v>28</v>
      </c>
      <c r="I110" s="1775" t="s">
        <v>902</v>
      </c>
    </row>
    <row r="111" spans="1:9" ht="11.25" customHeight="1">
      <c r="A111" s="1775" t="s">
        <v>2258</v>
      </c>
      <c r="B111" s="1775" t="s">
        <v>16</v>
      </c>
      <c r="C111" s="1775" t="s">
        <v>2510</v>
      </c>
      <c r="D111" s="1775" t="s">
        <v>2511</v>
      </c>
      <c r="E111" s="1775" t="s">
        <v>2275</v>
      </c>
      <c r="F111" s="1775" t="s">
        <v>2512</v>
      </c>
      <c r="G111" s="1775" t="s">
        <v>28</v>
      </c>
      <c r="H111" s="1775" t="s">
        <v>28</v>
      </c>
      <c r="I111" s="1775" t="s">
        <v>902</v>
      </c>
    </row>
    <row r="112" spans="1:9" ht="11.25" customHeight="1">
      <c r="A112" s="1775" t="s">
        <v>2258</v>
      </c>
      <c r="B112" s="1775" t="s">
        <v>16</v>
      </c>
      <c r="C112" s="1775" t="s">
        <v>2513</v>
      </c>
      <c r="D112" s="1775" t="s">
        <v>2514</v>
      </c>
      <c r="E112" s="1775" t="s">
        <v>2290</v>
      </c>
      <c r="F112" s="1775" t="s">
        <v>2346</v>
      </c>
      <c r="G112" s="1775" t="s">
        <v>28</v>
      </c>
      <c r="H112" s="1775" t="s">
        <v>28</v>
      </c>
      <c r="I112" s="1775" t="s">
        <v>902</v>
      </c>
    </row>
    <row r="113" spans="1:9" ht="11.25" customHeight="1">
      <c r="A113" s="1775" t="s">
        <v>2258</v>
      </c>
      <c r="B113" s="1775" t="s">
        <v>16</v>
      </c>
      <c r="C113" s="1775" t="s">
        <v>2518</v>
      </c>
      <c r="D113" s="1775" t="s">
        <v>2519</v>
      </c>
      <c r="E113" s="1775" t="s">
        <v>2520</v>
      </c>
      <c r="F113" s="1775" t="s">
        <v>2447</v>
      </c>
      <c r="G113" s="1775" t="s">
        <v>28</v>
      </c>
      <c r="H113" s="1775" t="s">
        <v>28</v>
      </c>
      <c r="I113" s="1775" t="s">
        <v>902</v>
      </c>
    </row>
    <row r="114" spans="1:9" ht="11.25" customHeight="1">
      <c r="A114" s="1775" t="s">
        <v>2258</v>
      </c>
      <c r="B114" s="1775" t="s">
        <v>16</v>
      </c>
      <c r="C114" s="1775" t="s">
        <v>2524</v>
      </c>
      <c r="D114" s="1775" t="s">
        <v>2525</v>
      </c>
      <c r="E114" s="1775" t="s">
        <v>2295</v>
      </c>
      <c r="F114" s="1775" t="s">
        <v>2279</v>
      </c>
      <c r="G114" s="1775" t="s">
        <v>28</v>
      </c>
      <c r="H114" s="1775" t="s">
        <v>28</v>
      </c>
      <c r="I114" s="1775" t="s">
        <v>902</v>
      </c>
    </row>
    <row r="115" spans="1:9" ht="11.25" customHeight="1">
      <c r="A115" s="1775" t="s">
        <v>2258</v>
      </c>
      <c r="B115" s="1775" t="s">
        <v>16</v>
      </c>
      <c r="C115" s="1775" t="s">
        <v>2526</v>
      </c>
      <c r="D115" s="1775" t="s">
        <v>2527</v>
      </c>
      <c r="E115" s="1775" t="s">
        <v>2528</v>
      </c>
      <c r="F115" s="1775" t="s">
        <v>2529</v>
      </c>
      <c r="G115" s="1775" t="s">
        <v>28</v>
      </c>
      <c r="H115" s="1775" t="s">
        <v>28</v>
      </c>
      <c r="I115" s="1775" t="s">
        <v>902</v>
      </c>
    </row>
    <row r="116" spans="1:9" ht="11.25" customHeight="1">
      <c r="A116" s="1775" t="s">
        <v>2258</v>
      </c>
      <c r="B116" s="1775" t="s">
        <v>16</v>
      </c>
      <c r="C116" s="1775" t="s">
        <v>2259</v>
      </c>
      <c r="D116" s="1775" t="s">
        <v>2260</v>
      </c>
      <c r="E116" s="1775" t="s">
        <v>2261</v>
      </c>
      <c r="F116" s="1775" t="s">
        <v>2262</v>
      </c>
      <c r="G116" s="1775" t="s">
        <v>28</v>
      </c>
      <c r="H116" s="1775" t="s">
        <v>28</v>
      </c>
      <c r="I116" s="1775" t="s">
        <v>862</v>
      </c>
    </row>
    <row r="117" spans="1:9" ht="11.25" customHeight="1">
      <c r="A117" s="1775" t="s">
        <v>2258</v>
      </c>
      <c r="B117" s="1775" t="s">
        <v>16</v>
      </c>
      <c r="C117" s="1775" t="s">
        <v>2534</v>
      </c>
      <c r="D117" s="1775" t="s">
        <v>2535</v>
      </c>
      <c r="E117" s="1775" t="s">
        <v>2536</v>
      </c>
      <c r="F117" s="1775" t="s">
        <v>2447</v>
      </c>
      <c r="G117" s="1775" t="s">
        <v>28</v>
      </c>
      <c r="H117" s="1775" t="s">
        <v>28</v>
      </c>
      <c r="I117" s="1775" t="s">
        <v>862</v>
      </c>
    </row>
    <row r="118" spans="1:9" ht="11.25" customHeight="1">
      <c r="A118" s="1775" t="s">
        <v>2258</v>
      </c>
      <c r="B118" s="1775" t="s">
        <v>16</v>
      </c>
      <c r="C118" s="1775" t="s">
        <v>2537</v>
      </c>
      <c r="D118" s="1775" t="s">
        <v>2538</v>
      </c>
      <c r="E118" s="1775" t="s">
        <v>2539</v>
      </c>
      <c r="F118" s="1775" t="s">
        <v>2476</v>
      </c>
      <c r="G118" s="1775" t="s">
        <v>28</v>
      </c>
      <c r="H118" s="1775" t="s">
        <v>28</v>
      </c>
      <c r="I118" s="1775" t="s">
        <v>862</v>
      </c>
    </row>
    <row r="119" spans="1:9" ht="11.25" customHeight="1">
      <c r="A119" s="1775" t="s">
        <v>2258</v>
      </c>
      <c r="B119" s="1775" t="s">
        <v>16</v>
      </c>
      <c r="C119" s="1775" t="s">
        <v>2540</v>
      </c>
      <c r="D119" s="1775" t="s">
        <v>2541</v>
      </c>
      <c r="E119" s="1775" t="s">
        <v>2542</v>
      </c>
      <c r="F119" s="1775" t="s">
        <v>2500</v>
      </c>
      <c r="G119" s="1775" t="s">
        <v>28</v>
      </c>
      <c r="H119" s="1775" t="s">
        <v>28</v>
      </c>
      <c r="I119" s="1775" t="s">
        <v>862</v>
      </c>
    </row>
    <row r="120" spans="1:9" ht="11.25" customHeight="1">
      <c r="A120" s="1775" t="s">
        <v>2258</v>
      </c>
      <c r="B120" s="1775" t="s">
        <v>16</v>
      </c>
      <c r="C120" s="1775" t="s">
        <v>2543</v>
      </c>
      <c r="D120" s="1775" t="s">
        <v>2544</v>
      </c>
      <c r="E120" s="1775" t="s">
        <v>2545</v>
      </c>
      <c r="F120" s="1775" t="s">
        <v>2546</v>
      </c>
      <c r="G120" s="1775" t="s">
        <v>28</v>
      </c>
      <c r="H120" s="1775" t="s">
        <v>28</v>
      </c>
      <c r="I120" s="1775" t="s">
        <v>862</v>
      </c>
    </row>
    <row r="121" spans="1:9" ht="11.25" customHeight="1">
      <c r="A121" s="1775" t="s">
        <v>2258</v>
      </c>
      <c r="B121" s="1775" t="s">
        <v>16</v>
      </c>
      <c r="C121" s="1775" t="s">
        <v>2547</v>
      </c>
      <c r="D121" s="1775" t="s">
        <v>2548</v>
      </c>
      <c r="E121" s="1775" t="s">
        <v>2549</v>
      </c>
      <c r="F121" s="1775" t="s">
        <v>2550</v>
      </c>
      <c r="G121" s="1775" t="s">
        <v>28</v>
      </c>
      <c r="H121" s="1775" t="s">
        <v>28</v>
      </c>
      <c r="I121" s="1775" t="s">
        <v>862</v>
      </c>
    </row>
    <row r="122" spans="1:9" ht="11.25" customHeight="1">
      <c r="A122" s="1775" t="s">
        <v>2258</v>
      </c>
      <c r="B122" s="1775" t="s">
        <v>16</v>
      </c>
      <c r="C122" s="1775" t="s">
        <v>2551</v>
      </c>
      <c r="D122" s="1775" t="s">
        <v>2552</v>
      </c>
      <c r="E122" s="1775" t="s">
        <v>2553</v>
      </c>
      <c r="F122" s="1775" t="s">
        <v>2300</v>
      </c>
      <c r="G122" s="1775" t="s">
        <v>2554</v>
      </c>
      <c r="H122" s="1775" t="s">
        <v>28</v>
      </c>
      <c r="I122" s="1775" t="s">
        <v>862</v>
      </c>
    </row>
    <row r="123" spans="1:9" ht="11.25" customHeight="1">
      <c r="A123" s="1775" t="s">
        <v>2258</v>
      </c>
      <c r="B123" s="1775" t="s">
        <v>16</v>
      </c>
      <c r="C123" s="1775" t="s">
        <v>2555</v>
      </c>
      <c r="D123" s="1775" t="s">
        <v>2556</v>
      </c>
      <c r="E123" s="1775" t="s">
        <v>2557</v>
      </c>
      <c r="F123" s="1775" t="s">
        <v>2271</v>
      </c>
      <c r="G123" s="1775" t="s">
        <v>2558</v>
      </c>
      <c r="H123" s="1775" t="s">
        <v>28</v>
      </c>
      <c r="I123" s="1775" t="s">
        <v>862</v>
      </c>
    </row>
    <row r="124" spans="1:9" ht="11.25" customHeight="1">
      <c r="A124" s="1775" t="s">
        <v>2258</v>
      </c>
      <c r="B124" s="1775" t="s">
        <v>16</v>
      </c>
      <c r="C124" s="1775" t="s">
        <v>2277</v>
      </c>
      <c r="D124" s="1775" t="s">
        <v>2278</v>
      </c>
      <c r="E124" s="1775" t="s">
        <v>2275</v>
      </c>
      <c r="F124" s="1775" t="s">
        <v>2279</v>
      </c>
      <c r="G124" s="1775" t="s">
        <v>28</v>
      </c>
      <c r="H124" s="1775" t="s">
        <v>28</v>
      </c>
      <c r="I124" s="1775" t="s">
        <v>862</v>
      </c>
    </row>
    <row r="125" spans="1:9" ht="11.25" customHeight="1">
      <c r="A125" s="1775" t="s">
        <v>2258</v>
      </c>
      <c r="B125" s="1775" t="s">
        <v>16</v>
      </c>
      <c r="C125" s="1775" t="s">
        <v>2280</v>
      </c>
      <c r="D125" s="1775" t="s">
        <v>2281</v>
      </c>
      <c r="E125" s="1775" t="s">
        <v>2282</v>
      </c>
      <c r="F125" s="1775" t="s">
        <v>2283</v>
      </c>
      <c r="G125" s="1775" t="s">
        <v>28</v>
      </c>
      <c r="H125" s="1775" t="s">
        <v>28</v>
      </c>
      <c r="I125" s="1775" t="s">
        <v>862</v>
      </c>
    </row>
    <row r="126" spans="1:9" ht="11.25" customHeight="1">
      <c r="A126" s="1775" t="s">
        <v>2258</v>
      </c>
      <c r="B126" s="1775" t="s">
        <v>16</v>
      </c>
      <c r="C126" s="1775" t="s">
        <v>2284</v>
      </c>
      <c r="D126" s="1775" t="s">
        <v>2285</v>
      </c>
      <c r="E126" s="1775" t="s">
        <v>2286</v>
      </c>
      <c r="F126" s="1775" t="s">
        <v>2271</v>
      </c>
      <c r="G126" s="1775" t="s">
        <v>2287</v>
      </c>
      <c r="H126" s="1775" t="s">
        <v>28</v>
      </c>
      <c r="I126" s="1775" t="s">
        <v>862</v>
      </c>
    </row>
    <row r="127" spans="1:9" ht="11.25" customHeight="1">
      <c r="A127" s="1775" t="s">
        <v>2258</v>
      </c>
      <c r="B127" s="1775" t="s">
        <v>16</v>
      </c>
      <c r="C127" s="1775" t="s">
        <v>2559</v>
      </c>
      <c r="D127" s="1775" t="s">
        <v>2560</v>
      </c>
      <c r="E127" s="1775" t="s">
        <v>2561</v>
      </c>
      <c r="F127" s="1775" t="s">
        <v>2271</v>
      </c>
      <c r="G127" s="1775" t="s">
        <v>28</v>
      </c>
      <c r="H127" s="1775" t="s">
        <v>28</v>
      </c>
      <c r="I127" s="1775" t="s">
        <v>862</v>
      </c>
    </row>
    <row r="128" spans="1:9" ht="11.25" customHeight="1">
      <c r="A128" s="1775" t="s">
        <v>2258</v>
      </c>
      <c r="B128" s="1775" t="s">
        <v>16</v>
      </c>
      <c r="C128" s="1775" t="s">
        <v>2288</v>
      </c>
      <c r="D128" s="1775" t="s">
        <v>2289</v>
      </c>
      <c r="E128" s="1775" t="s">
        <v>2290</v>
      </c>
      <c r="F128" s="1775" t="s">
        <v>2291</v>
      </c>
      <c r="G128" s="1775" t="s">
        <v>2292</v>
      </c>
      <c r="H128" s="1775" t="s">
        <v>28</v>
      </c>
      <c r="I128" s="1775" t="s">
        <v>862</v>
      </c>
    </row>
    <row r="129" spans="1:9" ht="11.25" customHeight="1">
      <c r="A129" s="1775" t="s">
        <v>2258</v>
      </c>
      <c r="B129" s="1775" t="s">
        <v>16</v>
      </c>
      <c r="C129" s="1775" t="s">
        <v>2297</v>
      </c>
      <c r="D129" s="1775" t="s">
        <v>2298</v>
      </c>
      <c r="E129" s="1775" t="s">
        <v>2299</v>
      </c>
      <c r="F129" s="1775" t="s">
        <v>2300</v>
      </c>
      <c r="G129" s="1775" t="s">
        <v>28</v>
      </c>
      <c r="H129" s="1775" t="s">
        <v>28</v>
      </c>
      <c r="I129" s="1775" t="s">
        <v>862</v>
      </c>
    </row>
    <row r="130" spans="1:9" ht="11.25" customHeight="1">
      <c r="A130" s="1775" t="s">
        <v>2258</v>
      </c>
      <c r="B130" s="1775" t="s">
        <v>16</v>
      </c>
      <c r="C130" s="1775" t="s">
        <v>2562</v>
      </c>
      <c r="D130" s="1775" t="s">
        <v>2563</v>
      </c>
      <c r="E130" s="1775" t="s">
        <v>2564</v>
      </c>
      <c r="F130" s="1775" t="s">
        <v>2376</v>
      </c>
      <c r="G130" s="1775" t="s">
        <v>28</v>
      </c>
      <c r="H130" s="1775" t="s">
        <v>28</v>
      </c>
      <c r="I130" s="1775" t="s">
        <v>862</v>
      </c>
    </row>
    <row r="131" spans="1:9" ht="11.25" customHeight="1">
      <c r="A131" s="1775" t="s">
        <v>2258</v>
      </c>
      <c r="B131" s="1775" t="s">
        <v>16</v>
      </c>
      <c r="C131" s="1775" t="s">
        <v>2301</v>
      </c>
      <c r="D131" s="1775" t="s">
        <v>2302</v>
      </c>
      <c r="E131" s="1775" t="s">
        <v>2303</v>
      </c>
      <c r="F131" s="1775" t="s">
        <v>2271</v>
      </c>
      <c r="G131" s="1775" t="s">
        <v>28</v>
      </c>
      <c r="H131" s="1775" t="s">
        <v>28</v>
      </c>
      <c r="I131" s="1775" t="s">
        <v>862</v>
      </c>
    </row>
    <row r="132" spans="1:9" ht="11.25" customHeight="1">
      <c r="A132" s="1775" t="s">
        <v>2258</v>
      </c>
      <c r="B132" s="1775" t="s">
        <v>16</v>
      </c>
      <c r="C132" s="1775" t="s">
        <v>2304</v>
      </c>
      <c r="D132" s="1775" t="s">
        <v>2305</v>
      </c>
      <c r="E132" s="1775" t="s">
        <v>2306</v>
      </c>
      <c r="F132" s="1775" t="s">
        <v>2271</v>
      </c>
      <c r="G132" s="1775" t="s">
        <v>28</v>
      </c>
      <c r="H132" s="1775" t="s">
        <v>28</v>
      </c>
      <c r="I132" s="1775" t="s">
        <v>862</v>
      </c>
    </row>
    <row r="133" spans="1:9" ht="11.25" customHeight="1">
      <c r="A133" s="1775" t="s">
        <v>2258</v>
      </c>
      <c r="B133" s="1775" t="s">
        <v>16</v>
      </c>
      <c r="C133" s="1775" t="s">
        <v>2565</v>
      </c>
      <c r="D133" s="1775" t="s">
        <v>2566</v>
      </c>
      <c r="E133" s="1775" t="s">
        <v>2567</v>
      </c>
      <c r="F133" s="1775" t="s">
        <v>2346</v>
      </c>
      <c r="G133" s="1775" t="s">
        <v>28</v>
      </c>
      <c r="H133" s="1775" t="s">
        <v>28</v>
      </c>
      <c r="I133" s="1775" t="s">
        <v>862</v>
      </c>
    </row>
    <row r="134" spans="1:9" ht="11.25" customHeight="1">
      <c r="A134" s="1775" t="s">
        <v>2258</v>
      </c>
      <c r="B134" s="1775" t="s">
        <v>16</v>
      </c>
      <c r="C134" s="1775" t="s">
        <v>2568</v>
      </c>
      <c r="D134" s="1775" t="s">
        <v>2569</v>
      </c>
      <c r="E134" s="1775" t="s">
        <v>2570</v>
      </c>
      <c r="F134" s="1775" t="s">
        <v>2504</v>
      </c>
      <c r="G134" s="1775" t="s">
        <v>28</v>
      </c>
      <c r="H134" s="1775" t="s">
        <v>28</v>
      </c>
      <c r="I134" s="1775" t="s">
        <v>862</v>
      </c>
    </row>
    <row r="135" spans="1:9" ht="11.25" customHeight="1">
      <c r="A135" s="1775" t="s">
        <v>2258</v>
      </c>
      <c r="B135" s="1775" t="s">
        <v>16</v>
      </c>
      <c r="C135" s="1775" t="s">
        <v>2571</v>
      </c>
      <c r="D135" s="1775" t="s">
        <v>2572</v>
      </c>
      <c r="E135" s="1775" t="s">
        <v>2573</v>
      </c>
      <c r="F135" s="1775" t="s">
        <v>2463</v>
      </c>
      <c r="G135" s="1775" t="s">
        <v>28</v>
      </c>
      <c r="H135" s="1775" t="s">
        <v>28</v>
      </c>
      <c r="I135" s="1775" t="s">
        <v>862</v>
      </c>
    </row>
    <row r="136" spans="1:9" ht="11.25" customHeight="1">
      <c r="A136" s="1775" t="s">
        <v>2258</v>
      </c>
      <c r="B136" s="1775" t="s">
        <v>16</v>
      </c>
      <c r="C136" s="1775" t="s">
        <v>2574</v>
      </c>
      <c r="D136" s="1775" t="s">
        <v>2575</v>
      </c>
      <c r="E136" s="1775" t="s">
        <v>2576</v>
      </c>
      <c r="F136" s="1775" t="s">
        <v>2262</v>
      </c>
      <c r="G136" s="1775" t="s">
        <v>28</v>
      </c>
      <c r="H136" s="1775" t="s">
        <v>28</v>
      </c>
      <c r="I136" s="1775" t="s">
        <v>862</v>
      </c>
    </row>
    <row r="137" spans="1:9" ht="11.25" customHeight="1">
      <c r="A137" s="1775" t="s">
        <v>2258</v>
      </c>
      <c r="B137" s="1775" t="s">
        <v>16</v>
      </c>
      <c r="C137" s="1775" t="s">
        <v>2577</v>
      </c>
      <c r="D137" s="1775" t="s">
        <v>2578</v>
      </c>
      <c r="E137" s="1775" t="s">
        <v>2579</v>
      </c>
      <c r="F137" s="1775" t="s">
        <v>2262</v>
      </c>
      <c r="G137" s="1775" t="s">
        <v>28</v>
      </c>
      <c r="H137" s="1775" t="s">
        <v>28</v>
      </c>
      <c r="I137" s="1775" t="s">
        <v>862</v>
      </c>
    </row>
    <row r="138" spans="1:9" ht="11.25" customHeight="1">
      <c r="A138" s="1775" t="s">
        <v>2258</v>
      </c>
      <c r="B138" s="1775" t="s">
        <v>16</v>
      </c>
      <c r="C138" s="1775" t="s">
        <v>2580</v>
      </c>
      <c r="D138" s="1775" t="s">
        <v>2581</v>
      </c>
      <c r="E138" s="1775" t="s">
        <v>2582</v>
      </c>
      <c r="F138" s="1775" t="s">
        <v>2262</v>
      </c>
      <c r="G138" s="1775" t="s">
        <v>28</v>
      </c>
      <c r="H138" s="1775" t="s">
        <v>28</v>
      </c>
      <c r="I138" s="1775" t="s">
        <v>862</v>
      </c>
    </row>
    <row r="139" spans="1:9" ht="11.25" customHeight="1">
      <c r="A139" s="1775" t="s">
        <v>2258</v>
      </c>
      <c r="B139" s="1775" t="s">
        <v>16</v>
      </c>
      <c r="C139" s="1775" t="s">
        <v>2583</v>
      </c>
      <c r="D139" s="1775" t="s">
        <v>2584</v>
      </c>
      <c r="E139" s="1775" t="s">
        <v>2585</v>
      </c>
      <c r="F139" s="1775" t="s">
        <v>2411</v>
      </c>
      <c r="G139" s="1775" t="s">
        <v>28</v>
      </c>
      <c r="H139" s="1775" t="s">
        <v>28</v>
      </c>
      <c r="I139" s="1775" t="s">
        <v>862</v>
      </c>
    </row>
    <row r="140" spans="1:9" ht="11.25" customHeight="1">
      <c r="A140" s="1775" t="s">
        <v>2258</v>
      </c>
      <c r="B140" s="1775" t="s">
        <v>16</v>
      </c>
      <c r="C140" s="1775" t="s">
        <v>2586</v>
      </c>
      <c r="D140" s="1775" t="s">
        <v>2587</v>
      </c>
      <c r="E140" s="1775" t="s">
        <v>2588</v>
      </c>
      <c r="F140" s="1775" t="s">
        <v>2262</v>
      </c>
      <c r="G140" s="1775" t="s">
        <v>28</v>
      </c>
      <c r="H140" s="1775" t="s">
        <v>28</v>
      </c>
      <c r="I140" s="1775" t="s">
        <v>862</v>
      </c>
    </row>
    <row r="141" spans="1:9" ht="11.25" customHeight="1">
      <c r="A141" s="1775" t="s">
        <v>2258</v>
      </c>
      <c r="B141" s="1775" t="s">
        <v>16</v>
      </c>
      <c r="C141" s="1775" t="s">
        <v>2589</v>
      </c>
      <c r="D141" s="1775" t="s">
        <v>2590</v>
      </c>
      <c r="E141" s="1775" t="s">
        <v>2591</v>
      </c>
      <c r="F141" s="1775" t="s">
        <v>2376</v>
      </c>
      <c r="G141" s="1775" t="s">
        <v>2592</v>
      </c>
      <c r="H141" s="1775" t="s">
        <v>28</v>
      </c>
      <c r="I141" s="1775" t="s">
        <v>862</v>
      </c>
    </row>
    <row r="142" spans="1:9" ht="11.25" customHeight="1">
      <c r="A142" s="1775" t="s">
        <v>2258</v>
      </c>
      <c r="B142" s="1775" t="s">
        <v>16</v>
      </c>
      <c r="C142" s="1775" t="s">
        <v>2593</v>
      </c>
      <c r="D142" s="1775" t="s">
        <v>2594</v>
      </c>
      <c r="E142" s="1775" t="s">
        <v>2595</v>
      </c>
      <c r="F142" s="1775" t="s">
        <v>2262</v>
      </c>
      <c r="G142" s="1775" t="s">
        <v>28</v>
      </c>
      <c r="H142" s="1775" t="s">
        <v>28</v>
      </c>
      <c r="I142" s="1775" t="s">
        <v>862</v>
      </c>
    </row>
    <row r="143" spans="1:9" ht="11.25" customHeight="1">
      <c r="A143" s="1775" t="s">
        <v>2258</v>
      </c>
      <c r="B143" s="1775" t="s">
        <v>16</v>
      </c>
      <c r="C143" s="1775" t="s">
        <v>2596</v>
      </c>
      <c r="D143" s="1775" t="s">
        <v>2597</v>
      </c>
      <c r="E143" s="1775" t="s">
        <v>2598</v>
      </c>
      <c r="F143" s="1775" t="s">
        <v>2599</v>
      </c>
      <c r="G143" s="1775" t="s">
        <v>28</v>
      </c>
      <c r="H143" s="1775" t="s">
        <v>28</v>
      </c>
      <c r="I143" s="1775" t="s">
        <v>862</v>
      </c>
    </row>
    <row r="144" spans="1:9" ht="11.25" customHeight="1">
      <c r="A144" s="1775" t="s">
        <v>2258</v>
      </c>
      <c r="B144" s="1775" t="s">
        <v>16</v>
      </c>
      <c r="C144" s="1775" t="s">
        <v>2600</v>
      </c>
      <c r="D144" s="1775" t="s">
        <v>2601</v>
      </c>
      <c r="E144" s="1775" t="s">
        <v>2602</v>
      </c>
      <c r="F144" s="1775" t="s">
        <v>2380</v>
      </c>
      <c r="G144" s="1775" t="s">
        <v>28</v>
      </c>
      <c r="H144" s="1775" t="s">
        <v>28</v>
      </c>
      <c r="I144" s="1775" t="s">
        <v>862</v>
      </c>
    </row>
    <row r="145" spans="1:9" ht="11.25" customHeight="1">
      <c r="A145" s="1775" t="s">
        <v>2258</v>
      </c>
      <c r="B145" s="1775" t="s">
        <v>16</v>
      </c>
      <c r="C145" s="1775" t="s">
        <v>2603</v>
      </c>
      <c r="D145" s="1775" t="s">
        <v>2604</v>
      </c>
      <c r="E145" s="1775" t="s">
        <v>2605</v>
      </c>
      <c r="F145" s="1775" t="s">
        <v>2376</v>
      </c>
      <c r="G145" s="1775" t="s">
        <v>2606</v>
      </c>
      <c r="H145" s="1775" t="s">
        <v>28</v>
      </c>
      <c r="I145" s="1775" t="s">
        <v>862</v>
      </c>
    </row>
    <row r="146" spans="1:9" ht="11.25" customHeight="1">
      <c r="A146" s="1775" t="s">
        <v>2258</v>
      </c>
      <c r="B146" s="1775" t="s">
        <v>16</v>
      </c>
      <c r="C146" s="1775" t="s">
        <v>2607</v>
      </c>
      <c r="D146" s="1775" t="s">
        <v>2608</v>
      </c>
      <c r="E146" s="1775" t="s">
        <v>2609</v>
      </c>
      <c r="F146" s="1775" t="s">
        <v>2262</v>
      </c>
      <c r="G146" s="1775" t="s">
        <v>28</v>
      </c>
      <c r="H146" s="1775" t="s">
        <v>28</v>
      </c>
      <c r="I146" s="1775" t="s">
        <v>862</v>
      </c>
    </row>
    <row r="147" spans="1:9" ht="11.25" customHeight="1">
      <c r="A147" s="1775" t="s">
        <v>2258</v>
      </c>
      <c r="B147" s="1775" t="s">
        <v>16</v>
      </c>
      <c r="C147" s="1775" t="s">
        <v>2610</v>
      </c>
      <c r="D147" s="1775" t="s">
        <v>2611</v>
      </c>
      <c r="E147" s="1775" t="s">
        <v>2612</v>
      </c>
      <c r="F147" s="1775" t="s">
        <v>2476</v>
      </c>
      <c r="G147" s="1775" t="s">
        <v>28</v>
      </c>
      <c r="H147" s="1775" t="s">
        <v>28</v>
      </c>
      <c r="I147" s="1775" t="s">
        <v>862</v>
      </c>
    </row>
    <row r="148" spans="1:9" ht="11.25" customHeight="1">
      <c r="A148" s="1775" t="s">
        <v>2258</v>
      </c>
      <c r="B148" s="1775" t="s">
        <v>16</v>
      </c>
      <c r="C148" s="1775" t="s">
        <v>2613</v>
      </c>
      <c r="D148" s="1775" t="s">
        <v>2614</v>
      </c>
      <c r="E148" s="1775" t="s">
        <v>2615</v>
      </c>
      <c r="F148" s="1775" t="s">
        <v>2500</v>
      </c>
      <c r="G148" s="1775" t="s">
        <v>2616</v>
      </c>
      <c r="H148" s="1775" t="s">
        <v>28</v>
      </c>
      <c r="I148" s="1775" t="s">
        <v>862</v>
      </c>
    </row>
    <row r="149" spans="1:9" ht="11.25" customHeight="1">
      <c r="A149" s="1775" t="s">
        <v>2258</v>
      </c>
      <c r="B149" s="1775" t="s">
        <v>16</v>
      </c>
      <c r="C149" s="1775" t="s">
        <v>2307</v>
      </c>
      <c r="D149" s="1775" t="s">
        <v>2308</v>
      </c>
      <c r="E149" s="1775" t="s">
        <v>2309</v>
      </c>
      <c r="F149" s="1775" t="s">
        <v>2310</v>
      </c>
      <c r="G149" s="1775" t="s">
        <v>28</v>
      </c>
      <c r="H149" s="1775" t="s">
        <v>28</v>
      </c>
      <c r="I149" s="1775" t="s">
        <v>862</v>
      </c>
    </row>
    <row r="150" spans="1:9" ht="11.25" customHeight="1">
      <c r="A150" s="1775" t="s">
        <v>2258</v>
      </c>
      <c r="B150" s="1775" t="s">
        <v>16</v>
      </c>
      <c r="C150" s="1775" t="s">
        <v>2311</v>
      </c>
      <c r="D150" s="1775" t="s">
        <v>2312</v>
      </c>
      <c r="E150" s="1775" t="s">
        <v>2309</v>
      </c>
      <c r="F150" s="1775" t="s">
        <v>2313</v>
      </c>
      <c r="G150" s="1775" t="s">
        <v>28</v>
      </c>
      <c r="H150" s="1775" t="s">
        <v>28</v>
      </c>
      <c r="I150" s="1775" t="s">
        <v>862</v>
      </c>
    </row>
    <row r="151" spans="1:9" ht="11.25" customHeight="1">
      <c r="A151" s="1775" t="s">
        <v>2258</v>
      </c>
      <c r="B151" s="1775" t="s">
        <v>16</v>
      </c>
      <c r="C151" s="1775" t="s">
        <v>2317</v>
      </c>
      <c r="D151" s="1775" t="s">
        <v>2318</v>
      </c>
      <c r="E151" s="1775" t="s">
        <v>2319</v>
      </c>
      <c r="F151" s="1775" t="s">
        <v>584</v>
      </c>
      <c r="G151" s="1775" t="s">
        <v>28</v>
      </c>
      <c r="H151" s="1775" t="s">
        <v>28</v>
      </c>
      <c r="I151" s="1775" t="s">
        <v>862</v>
      </c>
    </row>
    <row r="152" spans="1:9" ht="11.25" customHeight="1">
      <c r="A152" s="1775" t="s">
        <v>2258</v>
      </c>
      <c r="B152" s="1775" t="s">
        <v>16</v>
      </c>
      <c r="C152" s="1775" t="s">
        <v>2617</v>
      </c>
      <c r="D152" s="1775" t="s">
        <v>2618</v>
      </c>
      <c r="E152" s="1775" t="s">
        <v>2619</v>
      </c>
      <c r="F152" s="1775" t="s">
        <v>2447</v>
      </c>
      <c r="G152" s="1775" t="s">
        <v>2592</v>
      </c>
      <c r="H152" s="1775" t="s">
        <v>28</v>
      </c>
      <c r="I152" s="1775" t="s">
        <v>862</v>
      </c>
    </row>
    <row r="153" spans="1:9" ht="11.25" customHeight="1">
      <c r="A153" s="1775" t="s">
        <v>2258</v>
      </c>
      <c r="B153" s="1775" t="s">
        <v>16</v>
      </c>
      <c r="C153" s="1775" t="s">
        <v>2620</v>
      </c>
      <c r="D153" s="1775" t="s">
        <v>2621</v>
      </c>
      <c r="E153" s="1775" t="s">
        <v>2622</v>
      </c>
      <c r="F153" s="1775" t="s">
        <v>2447</v>
      </c>
      <c r="G153" s="1775" t="s">
        <v>28</v>
      </c>
      <c r="H153" s="1775" t="s">
        <v>28</v>
      </c>
      <c r="I153" s="1775" t="s">
        <v>862</v>
      </c>
    </row>
    <row r="154" spans="1:9" ht="11.25" customHeight="1">
      <c r="A154" s="1775" t="s">
        <v>2258</v>
      </c>
      <c r="B154" s="1775" t="s">
        <v>16</v>
      </c>
      <c r="C154" s="1775" t="s">
        <v>2623</v>
      </c>
      <c r="D154" s="1775" t="s">
        <v>2624</v>
      </c>
      <c r="E154" s="1775" t="s">
        <v>2625</v>
      </c>
      <c r="F154" s="1775" t="s">
        <v>2626</v>
      </c>
      <c r="G154" s="1775" t="s">
        <v>28</v>
      </c>
      <c r="H154" s="1775" t="s">
        <v>28</v>
      </c>
      <c r="I154" s="1775" t="s">
        <v>862</v>
      </c>
    </row>
    <row r="155" spans="1:9" ht="11.25" customHeight="1">
      <c r="A155" s="1775" t="s">
        <v>2258</v>
      </c>
      <c r="B155" s="1775" t="s">
        <v>16</v>
      </c>
      <c r="C155" s="1775" t="s">
        <v>28</v>
      </c>
      <c r="D155" s="1775" t="s">
        <v>2324</v>
      </c>
      <c r="E155" s="1775" t="s">
        <v>2325</v>
      </c>
      <c r="F155" s="1775" t="s">
        <v>2271</v>
      </c>
      <c r="G155" s="1775" t="s">
        <v>28</v>
      </c>
      <c r="H155" s="1775" t="s">
        <v>28</v>
      </c>
      <c r="I155" s="1775" t="s">
        <v>862</v>
      </c>
    </row>
    <row r="156" spans="1:9" ht="11.25" customHeight="1">
      <c r="A156" s="1775" t="s">
        <v>2258</v>
      </c>
      <c r="B156" s="1775" t="s">
        <v>16</v>
      </c>
      <c r="C156" s="1775" t="s">
        <v>2627</v>
      </c>
      <c r="D156" s="1775" t="s">
        <v>2628</v>
      </c>
      <c r="E156" s="1775" t="s">
        <v>2629</v>
      </c>
      <c r="F156" s="1775" t="s">
        <v>2550</v>
      </c>
      <c r="G156" s="1775" t="s">
        <v>28</v>
      </c>
      <c r="H156" s="1775" t="s">
        <v>28</v>
      </c>
      <c r="I156" s="1775" t="s">
        <v>862</v>
      </c>
    </row>
    <row r="157" spans="1:9" ht="11.25" customHeight="1">
      <c r="A157" s="1775" t="s">
        <v>2258</v>
      </c>
      <c r="B157" s="1775" t="s">
        <v>16</v>
      </c>
      <c r="C157" s="1775" t="s">
        <v>2630</v>
      </c>
      <c r="D157" s="1775" t="s">
        <v>2631</v>
      </c>
      <c r="E157" s="1775" t="s">
        <v>2632</v>
      </c>
      <c r="F157" s="1775" t="s">
        <v>2329</v>
      </c>
      <c r="G157" s="1775" t="s">
        <v>2633</v>
      </c>
      <c r="H157" s="1775" t="s">
        <v>28</v>
      </c>
      <c r="I157" s="1775" t="s">
        <v>862</v>
      </c>
    </row>
    <row r="158" spans="1:9" ht="11.25" customHeight="1">
      <c r="A158" s="1775" t="s">
        <v>2258</v>
      </c>
      <c r="B158" s="1775" t="s">
        <v>16</v>
      </c>
      <c r="C158" s="1775" t="s">
        <v>2634</v>
      </c>
      <c r="D158" s="1775" t="s">
        <v>2635</v>
      </c>
      <c r="E158" s="1775" t="s">
        <v>2636</v>
      </c>
      <c r="F158" s="1775" t="s">
        <v>2599</v>
      </c>
      <c r="G158" s="1775" t="s">
        <v>2637</v>
      </c>
      <c r="H158" s="1775" t="s">
        <v>28</v>
      </c>
      <c r="I158" s="1775" t="s">
        <v>862</v>
      </c>
    </row>
    <row r="159" spans="1:9" ht="11.25" customHeight="1">
      <c r="A159" s="1775" t="s">
        <v>2258</v>
      </c>
      <c r="B159" s="1775" t="s">
        <v>16</v>
      </c>
      <c r="C159" s="1775" t="s">
        <v>2638</v>
      </c>
      <c r="D159" s="1775" t="s">
        <v>2639</v>
      </c>
      <c r="E159" s="1775" t="s">
        <v>2640</v>
      </c>
      <c r="F159" s="1775" t="s">
        <v>2300</v>
      </c>
      <c r="G159" s="1775" t="s">
        <v>28</v>
      </c>
      <c r="H159" s="1775" t="s">
        <v>28</v>
      </c>
      <c r="I159" s="1775" t="s">
        <v>862</v>
      </c>
    </row>
    <row r="160" spans="1:9" ht="11.25" customHeight="1">
      <c r="A160" s="1775" t="s">
        <v>2258</v>
      </c>
      <c r="B160" s="1775" t="s">
        <v>16</v>
      </c>
      <c r="C160" s="1775" t="s">
        <v>2641</v>
      </c>
      <c r="D160" s="1775" t="s">
        <v>2642</v>
      </c>
      <c r="E160" s="1775" t="s">
        <v>2643</v>
      </c>
      <c r="F160" s="1775" t="s">
        <v>2447</v>
      </c>
      <c r="G160" s="1775" t="s">
        <v>28</v>
      </c>
      <c r="H160" s="1775" t="s">
        <v>28</v>
      </c>
      <c r="I160" s="1775" t="s">
        <v>862</v>
      </c>
    </row>
    <row r="161" spans="1:9" ht="11.25" customHeight="1">
      <c r="A161" s="1775" t="s">
        <v>2258</v>
      </c>
      <c r="B161" s="1775" t="s">
        <v>16</v>
      </c>
      <c r="C161" s="1775" t="s">
        <v>2644</v>
      </c>
      <c r="D161" s="1775" t="s">
        <v>2645</v>
      </c>
      <c r="E161" s="1775" t="s">
        <v>2646</v>
      </c>
      <c r="F161" s="1775" t="s">
        <v>2376</v>
      </c>
      <c r="G161" s="1775" t="s">
        <v>28</v>
      </c>
      <c r="H161" s="1775" t="s">
        <v>28</v>
      </c>
      <c r="I161" s="1775" t="s">
        <v>862</v>
      </c>
    </row>
    <row r="162" spans="1:9" ht="11.25" customHeight="1">
      <c r="A162" s="1775" t="s">
        <v>2258</v>
      </c>
      <c r="B162" s="1775" t="s">
        <v>16</v>
      </c>
      <c r="C162" s="1775" t="s">
        <v>2647</v>
      </c>
      <c r="D162" s="1775" t="s">
        <v>2648</v>
      </c>
      <c r="E162" s="1775" t="s">
        <v>2649</v>
      </c>
      <c r="F162" s="1775" t="s">
        <v>2650</v>
      </c>
      <c r="G162" s="1775" t="s">
        <v>28</v>
      </c>
      <c r="H162" s="1775" t="s">
        <v>28</v>
      </c>
      <c r="I162" s="1775" t="s">
        <v>862</v>
      </c>
    </row>
    <row r="163" spans="1:9" ht="11.25" customHeight="1">
      <c r="A163" s="1775" t="s">
        <v>2258</v>
      </c>
      <c r="B163" s="1775" t="s">
        <v>16</v>
      </c>
      <c r="C163" s="1775" t="s">
        <v>2336</v>
      </c>
      <c r="D163" s="1775" t="s">
        <v>2337</v>
      </c>
      <c r="E163" s="1775" t="s">
        <v>2338</v>
      </c>
      <c r="F163" s="1775" t="s">
        <v>2262</v>
      </c>
      <c r="G163" s="1775" t="s">
        <v>2339</v>
      </c>
      <c r="H163" s="1775" t="s">
        <v>28</v>
      </c>
      <c r="I163" s="1775" t="s">
        <v>862</v>
      </c>
    </row>
    <row r="164" spans="1:9" ht="11.25" customHeight="1">
      <c r="A164" s="1775" t="s">
        <v>2258</v>
      </c>
      <c r="B164" s="1775" t="s">
        <v>16</v>
      </c>
      <c r="C164" s="1775" t="s">
        <v>2651</v>
      </c>
      <c r="D164" s="1775" t="s">
        <v>2652</v>
      </c>
      <c r="E164" s="1775" t="s">
        <v>2653</v>
      </c>
      <c r="F164" s="1775" t="s">
        <v>2346</v>
      </c>
      <c r="G164" s="1775" t="s">
        <v>28</v>
      </c>
      <c r="H164" s="1775" t="s">
        <v>28</v>
      </c>
      <c r="I164" s="1775" t="s">
        <v>862</v>
      </c>
    </row>
    <row r="165" spans="1:9" ht="11.25" customHeight="1">
      <c r="A165" s="1775" t="s">
        <v>2258</v>
      </c>
      <c r="B165" s="1775" t="s">
        <v>16</v>
      </c>
      <c r="C165" s="1775" t="s">
        <v>13</v>
      </c>
      <c r="D165" s="1775" t="s">
        <v>47</v>
      </c>
      <c r="E165" s="1775" t="s">
        <v>50</v>
      </c>
      <c r="F165" s="1775" t="s">
        <v>52</v>
      </c>
      <c r="G165" s="1775" t="s">
        <v>28</v>
      </c>
      <c r="H165" s="1775" t="s">
        <v>28</v>
      </c>
      <c r="I165" s="1775" t="s">
        <v>862</v>
      </c>
    </row>
    <row r="166" spans="1:9" ht="11.25" customHeight="1">
      <c r="A166" s="1775" t="s">
        <v>2258</v>
      </c>
      <c r="B166" s="1775" t="s">
        <v>16</v>
      </c>
      <c r="C166" s="1775" t="s">
        <v>2340</v>
      </c>
      <c r="D166" s="1775" t="s">
        <v>2341</v>
      </c>
      <c r="E166" s="1775" t="s">
        <v>2342</v>
      </c>
      <c r="F166" s="1775" t="s">
        <v>2271</v>
      </c>
      <c r="G166" s="1775" t="s">
        <v>28</v>
      </c>
      <c r="H166" s="1775" t="s">
        <v>28</v>
      </c>
      <c r="I166" s="1775" t="s">
        <v>862</v>
      </c>
    </row>
    <row r="167" spans="1:9" ht="11.25" customHeight="1">
      <c r="A167" s="1775" t="s">
        <v>2258</v>
      </c>
      <c r="B167" s="1775" t="s">
        <v>16</v>
      </c>
      <c r="C167" s="1775" t="s">
        <v>2654</v>
      </c>
      <c r="D167" s="1775" t="s">
        <v>2655</v>
      </c>
      <c r="E167" s="1775" t="s">
        <v>2656</v>
      </c>
      <c r="F167" s="1775" t="s">
        <v>2262</v>
      </c>
      <c r="G167" s="1775" t="s">
        <v>28</v>
      </c>
      <c r="H167" s="1775" t="s">
        <v>28</v>
      </c>
      <c r="I167" s="1775" t="s">
        <v>862</v>
      </c>
    </row>
    <row r="168" spans="1:9" ht="11.25" customHeight="1">
      <c r="A168" s="1775" t="s">
        <v>2258</v>
      </c>
      <c r="B168" s="1775" t="s">
        <v>16</v>
      </c>
      <c r="C168" s="1775" t="s">
        <v>2657</v>
      </c>
      <c r="D168" s="1775" t="s">
        <v>2658</v>
      </c>
      <c r="E168" s="1775" t="s">
        <v>2659</v>
      </c>
      <c r="F168" s="1775" t="s">
        <v>2500</v>
      </c>
      <c r="G168" s="1775" t="s">
        <v>2660</v>
      </c>
      <c r="H168" s="1775" t="s">
        <v>28</v>
      </c>
      <c r="I168" s="1775" t="s">
        <v>862</v>
      </c>
    </row>
    <row r="169" spans="1:9" ht="11.25" customHeight="1">
      <c r="A169" s="1775" t="s">
        <v>2258</v>
      </c>
      <c r="B169" s="1775" t="s">
        <v>16</v>
      </c>
      <c r="C169" s="1775" t="s">
        <v>2661</v>
      </c>
      <c r="D169" s="1775" t="s">
        <v>2662</v>
      </c>
      <c r="E169" s="1775" t="s">
        <v>2663</v>
      </c>
      <c r="F169" s="1775" t="s">
        <v>2504</v>
      </c>
      <c r="G169" s="1775" t="s">
        <v>2664</v>
      </c>
      <c r="H169" s="1775" t="s">
        <v>28</v>
      </c>
      <c r="I169" s="1775" t="s">
        <v>862</v>
      </c>
    </row>
    <row r="170" spans="1:9" ht="11.25" customHeight="1">
      <c r="A170" s="1775" t="s">
        <v>2258</v>
      </c>
      <c r="B170" s="1775" t="s">
        <v>16</v>
      </c>
      <c r="C170" s="1775" t="s">
        <v>2347</v>
      </c>
      <c r="D170" s="1775" t="s">
        <v>2348</v>
      </c>
      <c r="E170" s="1775" t="s">
        <v>2349</v>
      </c>
      <c r="F170" s="1775" t="s">
        <v>52</v>
      </c>
      <c r="G170" s="1775" t="s">
        <v>28</v>
      </c>
      <c r="H170" s="1775" t="s">
        <v>28</v>
      </c>
      <c r="I170" s="1775" t="s">
        <v>862</v>
      </c>
    </row>
    <row r="171" spans="1:9" ht="11.25" customHeight="1">
      <c r="A171" s="1775" t="s">
        <v>2258</v>
      </c>
      <c r="B171" s="1775" t="s">
        <v>16</v>
      </c>
      <c r="C171" s="1775" t="s">
        <v>2665</v>
      </c>
      <c r="D171" s="1775" t="s">
        <v>2666</v>
      </c>
      <c r="E171" s="1775" t="s">
        <v>2667</v>
      </c>
      <c r="F171" s="1775" t="s">
        <v>2359</v>
      </c>
      <c r="G171" s="1775" t="s">
        <v>28</v>
      </c>
      <c r="H171" s="1775" t="s">
        <v>28</v>
      </c>
      <c r="I171" s="1775" t="s">
        <v>862</v>
      </c>
    </row>
    <row r="172" spans="1:9" ht="11.25" customHeight="1">
      <c r="A172" s="1775" t="s">
        <v>2258</v>
      </c>
      <c r="B172" s="1775" t="s">
        <v>16</v>
      </c>
      <c r="C172" s="1775" t="s">
        <v>2668</v>
      </c>
      <c r="D172" s="1775" t="s">
        <v>2669</v>
      </c>
      <c r="E172" s="1775" t="s">
        <v>2670</v>
      </c>
      <c r="F172" s="1775" t="s">
        <v>2447</v>
      </c>
      <c r="G172" s="1775" t="s">
        <v>2671</v>
      </c>
      <c r="H172" s="1775" t="s">
        <v>28</v>
      </c>
      <c r="I172" s="1775" t="s">
        <v>862</v>
      </c>
    </row>
    <row r="173" spans="1:9" ht="11.25" customHeight="1">
      <c r="A173" s="1775" t="s">
        <v>2258</v>
      </c>
      <c r="B173" s="1775" t="s">
        <v>16</v>
      </c>
      <c r="C173" s="1775" t="s">
        <v>2672</v>
      </c>
      <c r="D173" s="1775" t="s">
        <v>2673</v>
      </c>
      <c r="E173" s="1775" t="s">
        <v>2674</v>
      </c>
      <c r="F173" s="1775" t="s">
        <v>52</v>
      </c>
      <c r="G173" s="1775" t="s">
        <v>2675</v>
      </c>
      <c r="H173" s="1775" t="s">
        <v>28</v>
      </c>
      <c r="I173" s="1775" t="s">
        <v>862</v>
      </c>
    </row>
    <row r="174" spans="1:9" ht="11.25" customHeight="1">
      <c r="A174" s="1775" t="s">
        <v>2258</v>
      </c>
      <c r="B174" s="1775" t="s">
        <v>16</v>
      </c>
      <c r="C174" s="1775" t="s">
        <v>2676</v>
      </c>
      <c r="D174" s="1775" t="s">
        <v>2677</v>
      </c>
      <c r="E174" s="1775" t="s">
        <v>2678</v>
      </c>
      <c r="F174" s="1775" t="s">
        <v>2271</v>
      </c>
      <c r="G174" s="1775" t="s">
        <v>28</v>
      </c>
      <c r="H174" s="1775" t="s">
        <v>28</v>
      </c>
      <c r="I174" s="1775" t="s">
        <v>862</v>
      </c>
    </row>
    <row r="175" spans="1:9" ht="11.25" customHeight="1">
      <c r="A175" s="1775" t="s">
        <v>2258</v>
      </c>
      <c r="B175" s="1775" t="s">
        <v>16</v>
      </c>
      <c r="C175" s="1775" t="s">
        <v>2679</v>
      </c>
      <c r="D175" s="1775" t="s">
        <v>2680</v>
      </c>
      <c r="E175" s="1775" t="s">
        <v>2681</v>
      </c>
      <c r="F175" s="1775" t="s">
        <v>52</v>
      </c>
      <c r="G175" s="1775" t="s">
        <v>28</v>
      </c>
      <c r="H175" s="1775" t="s">
        <v>28</v>
      </c>
      <c r="I175" s="1775" t="s">
        <v>862</v>
      </c>
    </row>
    <row r="176" spans="1:9" ht="11.25" customHeight="1">
      <c r="A176" s="1775" t="s">
        <v>2258</v>
      </c>
      <c r="B176" s="1775" t="s">
        <v>16</v>
      </c>
      <c r="C176" s="1775" t="s">
        <v>2350</v>
      </c>
      <c r="D176" s="1775" t="s">
        <v>2351</v>
      </c>
      <c r="E176" s="1775" t="s">
        <v>2352</v>
      </c>
      <c r="F176" s="1775" t="s">
        <v>2334</v>
      </c>
      <c r="G176" s="1775" t="s">
        <v>28</v>
      </c>
      <c r="H176" s="1775" t="s">
        <v>28</v>
      </c>
      <c r="I176" s="1775" t="s">
        <v>862</v>
      </c>
    </row>
    <row r="177" spans="1:9" ht="11.25" customHeight="1">
      <c r="A177" s="1775" t="s">
        <v>2258</v>
      </c>
      <c r="B177" s="1775" t="s">
        <v>16</v>
      </c>
      <c r="C177" s="1775" t="s">
        <v>2682</v>
      </c>
      <c r="D177" s="1775" t="s">
        <v>2683</v>
      </c>
      <c r="E177" s="1775" t="s">
        <v>2684</v>
      </c>
      <c r="F177" s="1775" t="s">
        <v>2300</v>
      </c>
      <c r="G177" s="1775" t="s">
        <v>28</v>
      </c>
      <c r="H177" s="1775" t="s">
        <v>28</v>
      </c>
      <c r="I177" s="1775" t="s">
        <v>862</v>
      </c>
    </row>
    <row r="178" spans="1:9" ht="11.25" customHeight="1">
      <c r="A178" s="1775" t="s">
        <v>2258</v>
      </c>
      <c r="B178" s="1775" t="s">
        <v>16</v>
      </c>
      <c r="C178" s="1775" t="s">
        <v>2685</v>
      </c>
      <c r="D178" s="1775" t="s">
        <v>2686</v>
      </c>
      <c r="E178" s="1775" t="s">
        <v>2687</v>
      </c>
      <c r="F178" s="1775" t="s">
        <v>2346</v>
      </c>
      <c r="G178" s="1775" t="s">
        <v>28</v>
      </c>
      <c r="H178" s="1775" t="s">
        <v>28</v>
      </c>
      <c r="I178" s="1775" t="s">
        <v>862</v>
      </c>
    </row>
    <row r="179" spans="1:9" ht="11.25" customHeight="1">
      <c r="A179" s="1775" t="s">
        <v>2258</v>
      </c>
      <c r="B179" s="1775" t="s">
        <v>16</v>
      </c>
      <c r="C179" s="1775" t="s">
        <v>2353</v>
      </c>
      <c r="D179" s="1775" t="s">
        <v>2354</v>
      </c>
      <c r="E179" s="1775" t="s">
        <v>2355</v>
      </c>
      <c r="F179" s="1775" t="s">
        <v>2346</v>
      </c>
      <c r="G179" s="1775" t="s">
        <v>28</v>
      </c>
      <c r="H179" s="1775" t="s">
        <v>28</v>
      </c>
      <c r="I179" s="1775" t="s">
        <v>862</v>
      </c>
    </row>
    <row r="180" spans="1:9" ht="11.25" customHeight="1">
      <c r="A180" s="1775" t="s">
        <v>2258</v>
      </c>
      <c r="B180" s="1775" t="s">
        <v>16</v>
      </c>
      <c r="C180" s="1775" t="s">
        <v>2688</v>
      </c>
      <c r="D180" s="1775" t="s">
        <v>2689</v>
      </c>
      <c r="E180" s="1775" t="s">
        <v>2690</v>
      </c>
      <c r="F180" s="1775" t="s">
        <v>2376</v>
      </c>
      <c r="G180" s="1775" t="s">
        <v>28</v>
      </c>
      <c r="H180" s="1775" t="s">
        <v>28</v>
      </c>
      <c r="I180" s="1775" t="s">
        <v>862</v>
      </c>
    </row>
    <row r="181" spans="1:9" ht="11.25" customHeight="1">
      <c r="A181" s="1775" t="s">
        <v>2258</v>
      </c>
      <c r="B181" s="1775" t="s">
        <v>16</v>
      </c>
      <c r="C181" s="1775" t="s">
        <v>2366</v>
      </c>
      <c r="D181" s="1775" t="s">
        <v>2367</v>
      </c>
      <c r="E181" s="1775" t="s">
        <v>2368</v>
      </c>
      <c r="F181" s="1775" t="s">
        <v>2359</v>
      </c>
      <c r="G181" s="1775" t="s">
        <v>2369</v>
      </c>
      <c r="H181" s="1775" t="s">
        <v>28</v>
      </c>
      <c r="I181" s="1775" t="s">
        <v>862</v>
      </c>
    </row>
    <row r="182" spans="1:9" ht="11.25" customHeight="1">
      <c r="A182" s="1775" t="s">
        <v>2258</v>
      </c>
      <c r="B182" s="1775" t="s">
        <v>16</v>
      </c>
      <c r="C182" s="1775" t="s">
        <v>2691</v>
      </c>
      <c r="D182" s="1775" t="s">
        <v>2692</v>
      </c>
      <c r="E182" s="1775" t="s">
        <v>2693</v>
      </c>
      <c r="F182" s="1775" t="s">
        <v>2364</v>
      </c>
      <c r="G182" s="1775" t="s">
        <v>2694</v>
      </c>
      <c r="H182" s="1775" t="s">
        <v>28</v>
      </c>
      <c r="I182" s="1775" t="s">
        <v>862</v>
      </c>
    </row>
    <row r="183" spans="1:9" ht="11.25" customHeight="1">
      <c r="A183" s="1775" t="s">
        <v>2258</v>
      </c>
      <c r="B183" s="1775" t="s">
        <v>16</v>
      </c>
      <c r="C183" s="1775" t="s">
        <v>2695</v>
      </c>
      <c r="D183" s="1775" t="s">
        <v>2696</v>
      </c>
      <c r="E183" s="1775" t="s">
        <v>2697</v>
      </c>
      <c r="F183" s="1775" t="s">
        <v>2364</v>
      </c>
      <c r="G183" s="1775" t="s">
        <v>2698</v>
      </c>
      <c r="H183" s="1775" t="s">
        <v>28</v>
      </c>
      <c r="I183" s="1775" t="s">
        <v>862</v>
      </c>
    </row>
    <row r="184" spans="1:9" ht="11.25" customHeight="1">
      <c r="A184" s="1775" t="s">
        <v>2258</v>
      </c>
      <c r="B184" s="1775" t="s">
        <v>16</v>
      </c>
      <c r="C184" s="1775" t="s">
        <v>2699</v>
      </c>
      <c r="D184" s="1775" t="s">
        <v>2700</v>
      </c>
      <c r="E184" s="1775" t="s">
        <v>2701</v>
      </c>
      <c r="F184" s="1775" t="s">
        <v>2376</v>
      </c>
      <c r="G184" s="1775" t="s">
        <v>28</v>
      </c>
      <c r="H184" s="1775" t="s">
        <v>28</v>
      </c>
      <c r="I184" s="1775" t="s">
        <v>862</v>
      </c>
    </row>
    <row r="185" spans="1:9" ht="11.25" customHeight="1">
      <c r="A185" s="1775" t="s">
        <v>2258</v>
      </c>
      <c r="B185" s="1775" t="s">
        <v>16</v>
      </c>
      <c r="C185" s="1775" t="s">
        <v>2702</v>
      </c>
      <c r="D185" s="1775" t="s">
        <v>2703</v>
      </c>
      <c r="E185" s="1775" t="s">
        <v>2704</v>
      </c>
      <c r="F185" s="1775" t="s">
        <v>2705</v>
      </c>
      <c r="G185" s="1775" t="s">
        <v>28</v>
      </c>
      <c r="H185" s="1775" t="s">
        <v>28</v>
      </c>
      <c r="I185" s="1775" t="s">
        <v>862</v>
      </c>
    </row>
    <row r="186" spans="1:9" ht="11.25" customHeight="1">
      <c r="A186" s="1775" t="s">
        <v>2258</v>
      </c>
      <c r="B186" s="1775" t="s">
        <v>16</v>
      </c>
      <c r="C186" s="1775" t="s">
        <v>2370</v>
      </c>
      <c r="D186" s="1775" t="s">
        <v>2371</v>
      </c>
      <c r="E186" s="1775" t="s">
        <v>2372</v>
      </c>
      <c r="F186" s="1775" t="s">
        <v>2266</v>
      </c>
      <c r="G186" s="1775" t="s">
        <v>28</v>
      </c>
      <c r="H186" s="1775" t="s">
        <v>28</v>
      </c>
      <c r="I186" s="1775" t="s">
        <v>862</v>
      </c>
    </row>
    <row r="187" spans="1:9" ht="11.25" customHeight="1">
      <c r="A187" s="1775" t="s">
        <v>2258</v>
      </c>
      <c r="B187" s="1775" t="s">
        <v>16</v>
      </c>
      <c r="C187" s="1775" t="s">
        <v>2706</v>
      </c>
      <c r="D187" s="1775" t="s">
        <v>2707</v>
      </c>
      <c r="E187" s="1775" t="s">
        <v>2708</v>
      </c>
      <c r="F187" s="1775" t="s">
        <v>2480</v>
      </c>
      <c r="G187" s="1775" t="s">
        <v>28</v>
      </c>
      <c r="H187" s="1775" t="s">
        <v>28</v>
      </c>
      <c r="I187" s="1775" t="s">
        <v>862</v>
      </c>
    </row>
    <row r="188" spans="1:9" ht="11.25" customHeight="1">
      <c r="A188" s="1775" t="s">
        <v>2258</v>
      </c>
      <c r="B188" s="1775" t="s">
        <v>16</v>
      </c>
      <c r="C188" s="1775" t="s">
        <v>2709</v>
      </c>
      <c r="D188" s="1775" t="s">
        <v>2710</v>
      </c>
      <c r="E188" s="1775" t="s">
        <v>2711</v>
      </c>
      <c r="F188" s="1775" t="s">
        <v>2411</v>
      </c>
      <c r="G188" s="1775" t="s">
        <v>28</v>
      </c>
      <c r="H188" s="1775" t="s">
        <v>28</v>
      </c>
      <c r="I188" s="1775" t="s">
        <v>862</v>
      </c>
    </row>
    <row r="189" spans="1:9" ht="11.25" customHeight="1">
      <c r="A189" s="1775" t="s">
        <v>2258</v>
      </c>
      <c r="B189" s="1775" t="s">
        <v>16</v>
      </c>
      <c r="C189" s="1775" t="s">
        <v>2712</v>
      </c>
      <c r="D189" s="1775" t="s">
        <v>2713</v>
      </c>
      <c r="E189" s="1775" t="s">
        <v>2714</v>
      </c>
      <c r="F189" s="1775" t="s">
        <v>2271</v>
      </c>
      <c r="G189" s="1775" t="s">
        <v>28</v>
      </c>
      <c r="H189" s="1775" t="s">
        <v>28</v>
      </c>
      <c r="I189" s="1775" t="s">
        <v>862</v>
      </c>
    </row>
    <row r="190" spans="1:9" ht="11.25" customHeight="1">
      <c r="A190" s="1775" t="s">
        <v>2258</v>
      </c>
      <c r="B190" s="1775" t="s">
        <v>16</v>
      </c>
      <c r="C190" s="1775" t="s">
        <v>2715</v>
      </c>
      <c r="D190" s="1775" t="s">
        <v>2716</v>
      </c>
      <c r="E190" s="1775" t="s">
        <v>2717</v>
      </c>
      <c r="F190" s="1775" t="s">
        <v>2266</v>
      </c>
      <c r="G190" s="1775" t="s">
        <v>28</v>
      </c>
      <c r="H190" s="1775" t="s">
        <v>28</v>
      </c>
      <c r="I190" s="1775" t="s">
        <v>862</v>
      </c>
    </row>
    <row r="191" spans="1:9" ht="11.25" customHeight="1">
      <c r="A191" s="1775" t="s">
        <v>2258</v>
      </c>
      <c r="B191" s="1775" t="s">
        <v>16</v>
      </c>
      <c r="C191" s="1775" t="s">
        <v>2718</v>
      </c>
      <c r="D191" s="1775" t="s">
        <v>2719</v>
      </c>
      <c r="E191" s="1775" t="s">
        <v>2720</v>
      </c>
      <c r="F191" s="1775" t="s">
        <v>2376</v>
      </c>
      <c r="G191" s="1775" t="s">
        <v>28</v>
      </c>
      <c r="H191" s="1775" t="s">
        <v>28</v>
      </c>
      <c r="I191" s="1775" t="s">
        <v>862</v>
      </c>
    </row>
    <row r="192" spans="1:9" ht="11.25" customHeight="1">
      <c r="A192" s="1775" t="s">
        <v>2258</v>
      </c>
      <c r="B192" s="1775" t="s">
        <v>16</v>
      </c>
      <c r="C192" s="1775" t="s">
        <v>2721</v>
      </c>
      <c r="D192" s="1775" t="s">
        <v>2722</v>
      </c>
      <c r="E192" s="1775" t="s">
        <v>2723</v>
      </c>
      <c r="F192" s="1775" t="s">
        <v>2364</v>
      </c>
      <c r="G192" s="1775" t="s">
        <v>2724</v>
      </c>
      <c r="H192" s="1775" t="s">
        <v>28</v>
      </c>
      <c r="I192" s="1775" t="s">
        <v>862</v>
      </c>
    </row>
    <row r="193" spans="1:9" ht="11.25" customHeight="1">
      <c r="A193" s="1775" t="s">
        <v>2258</v>
      </c>
      <c r="B193" s="1775" t="s">
        <v>16</v>
      </c>
      <c r="C193" s="1775" t="s">
        <v>2725</v>
      </c>
      <c r="D193" s="1775" t="s">
        <v>2402</v>
      </c>
      <c r="E193" s="1775" t="s">
        <v>2403</v>
      </c>
      <c r="F193" s="1775" t="s">
        <v>2346</v>
      </c>
      <c r="G193" s="1775" t="s">
        <v>28</v>
      </c>
      <c r="H193" s="1775" t="s">
        <v>28</v>
      </c>
      <c r="I193" s="1775" t="s">
        <v>862</v>
      </c>
    </row>
    <row r="194" spans="1:9" ht="11.25" customHeight="1">
      <c r="A194" s="1775" t="s">
        <v>2258</v>
      </c>
      <c r="B194" s="1775" t="s">
        <v>16</v>
      </c>
      <c r="C194" s="1775" t="s">
        <v>2401</v>
      </c>
      <c r="D194" s="1775" t="s">
        <v>2402</v>
      </c>
      <c r="E194" s="1775" t="s">
        <v>2403</v>
      </c>
      <c r="F194" s="1775" t="s">
        <v>2404</v>
      </c>
      <c r="G194" s="1775" t="s">
        <v>28</v>
      </c>
      <c r="H194" s="1775" t="s">
        <v>28</v>
      </c>
      <c r="I194" s="1775" t="s">
        <v>862</v>
      </c>
    </row>
    <row r="195" spans="1:9" ht="11.25" customHeight="1">
      <c r="A195" s="1775" t="s">
        <v>2258</v>
      </c>
      <c r="B195" s="1775" t="s">
        <v>16</v>
      </c>
      <c r="C195" s="1775" t="s">
        <v>2726</v>
      </c>
      <c r="D195" s="1775" t="s">
        <v>2727</v>
      </c>
      <c r="E195" s="1775" t="s">
        <v>2728</v>
      </c>
      <c r="F195" s="1775" t="s">
        <v>2443</v>
      </c>
      <c r="G195" s="1775" t="s">
        <v>28</v>
      </c>
      <c r="H195" s="1775" t="s">
        <v>28</v>
      </c>
      <c r="I195" s="1775" t="s">
        <v>862</v>
      </c>
    </row>
    <row r="196" spans="1:9" ht="11.25" customHeight="1">
      <c r="A196" s="1775" t="s">
        <v>2258</v>
      </c>
      <c r="B196" s="1775" t="s">
        <v>16</v>
      </c>
      <c r="C196" s="1775" t="s">
        <v>2729</v>
      </c>
      <c r="D196" s="1775" t="s">
        <v>2730</v>
      </c>
      <c r="E196" s="1775" t="s">
        <v>2731</v>
      </c>
      <c r="F196" s="1775" t="s">
        <v>2300</v>
      </c>
      <c r="G196" s="1775" t="s">
        <v>28</v>
      </c>
      <c r="H196" s="1775" t="s">
        <v>28</v>
      </c>
      <c r="I196" s="1775" t="s">
        <v>862</v>
      </c>
    </row>
    <row r="197" spans="1:9" ht="11.25" customHeight="1">
      <c r="A197" s="1775" t="s">
        <v>2258</v>
      </c>
      <c r="B197" s="1775" t="s">
        <v>16</v>
      </c>
      <c r="C197" s="1775" t="s">
        <v>2732</v>
      </c>
      <c r="D197" s="1775" t="s">
        <v>2733</v>
      </c>
      <c r="E197" s="1775" t="s">
        <v>2734</v>
      </c>
      <c r="F197" s="1775" t="s">
        <v>52</v>
      </c>
      <c r="G197" s="1775" t="s">
        <v>28</v>
      </c>
      <c r="H197" s="1775" t="s">
        <v>28</v>
      </c>
      <c r="I197" s="1775" t="s">
        <v>862</v>
      </c>
    </row>
    <row r="198" spans="1:9" ht="11.25" customHeight="1">
      <c r="A198" s="1775" t="s">
        <v>2258</v>
      </c>
      <c r="B198" s="1775" t="s">
        <v>16</v>
      </c>
      <c r="C198" s="1775" t="s">
        <v>2735</v>
      </c>
      <c r="D198" s="1775" t="s">
        <v>2736</v>
      </c>
      <c r="E198" s="1775" t="s">
        <v>2737</v>
      </c>
      <c r="F198" s="1775" t="s">
        <v>2425</v>
      </c>
      <c r="G198" s="1775" t="s">
        <v>28</v>
      </c>
      <c r="H198" s="1775" t="s">
        <v>28</v>
      </c>
      <c r="I198" s="1775" t="s">
        <v>862</v>
      </c>
    </row>
    <row r="199" spans="1:9" ht="11.25" customHeight="1">
      <c r="A199" s="1775" t="s">
        <v>2258</v>
      </c>
      <c r="B199" s="1775" t="s">
        <v>16</v>
      </c>
      <c r="C199" s="1775" t="s">
        <v>2408</v>
      </c>
      <c r="D199" s="1775" t="s">
        <v>2409</v>
      </c>
      <c r="E199" s="1775" t="s">
        <v>2410</v>
      </c>
      <c r="F199" s="1775" t="s">
        <v>2411</v>
      </c>
      <c r="G199" s="1775" t="s">
        <v>28</v>
      </c>
      <c r="H199" s="1775" t="s">
        <v>28</v>
      </c>
      <c r="I199" s="1775" t="s">
        <v>862</v>
      </c>
    </row>
    <row r="200" spans="1:9" ht="11.25" customHeight="1">
      <c r="A200" s="1775" t="s">
        <v>2258</v>
      </c>
      <c r="B200" s="1775" t="s">
        <v>16</v>
      </c>
      <c r="C200" s="1775" t="s">
        <v>2738</v>
      </c>
      <c r="D200" s="1775" t="s">
        <v>2739</v>
      </c>
      <c r="E200" s="1775" t="s">
        <v>2740</v>
      </c>
      <c r="F200" s="1775" t="s">
        <v>2411</v>
      </c>
      <c r="G200" s="1775" t="s">
        <v>28</v>
      </c>
      <c r="H200" s="1775" t="s">
        <v>28</v>
      </c>
      <c r="I200" s="1775" t="s">
        <v>862</v>
      </c>
    </row>
    <row r="201" spans="1:9" ht="11.25" customHeight="1">
      <c r="A201" s="1775" t="s">
        <v>2258</v>
      </c>
      <c r="B201" s="1775" t="s">
        <v>16</v>
      </c>
      <c r="C201" s="1775" t="s">
        <v>2741</v>
      </c>
      <c r="D201" s="1775" t="s">
        <v>2742</v>
      </c>
      <c r="E201" s="1775" t="s">
        <v>2743</v>
      </c>
      <c r="F201" s="1775" t="s">
        <v>2504</v>
      </c>
      <c r="G201" s="1775" t="s">
        <v>28</v>
      </c>
      <c r="H201" s="1775" t="s">
        <v>28</v>
      </c>
      <c r="I201" s="1775" t="s">
        <v>862</v>
      </c>
    </row>
    <row r="202" spans="1:9" ht="11.25" customHeight="1">
      <c r="A202" s="1775" t="s">
        <v>2258</v>
      </c>
      <c r="B202" s="1775" t="s">
        <v>16</v>
      </c>
      <c r="C202" s="1775" t="s">
        <v>2744</v>
      </c>
      <c r="D202" s="1775" t="s">
        <v>2745</v>
      </c>
      <c r="E202" s="1775" t="s">
        <v>2746</v>
      </c>
      <c r="F202" s="1775" t="s">
        <v>2266</v>
      </c>
      <c r="G202" s="1775" t="s">
        <v>2747</v>
      </c>
      <c r="H202" s="1775" t="s">
        <v>28</v>
      </c>
      <c r="I202" s="1775" t="s">
        <v>862</v>
      </c>
    </row>
    <row r="203" spans="1:9" ht="11.25" customHeight="1">
      <c r="A203" s="1775" t="s">
        <v>2258</v>
      </c>
      <c r="B203" s="1775" t="s">
        <v>16</v>
      </c>
      <c r="C203" s="1775" t="s">
        <v>2748</v>
      </c>
      <c r="D203" s="1775" t="s">
        <v>2749</v>
      </c>
      <c r="E203" s="1775" t="s">
        <v>2750</v>
      </c>
      <c r="F203" s="1775" t="s">
        <v>2463</v>
      </c>
      <c r="G203" s="1775" t="s">
        <v>28</v>
      </c>
      <c r="H203" s="1775" t="s">
        <v>28</v>
      </c>
      <c r="I203" s="1775" t="s">
        <v>862</v>
      </c>
    </row>
    <row r="204" spans="1:9" ht="11.25" customHeight="1">
      <c r="A204" s="1775" t="s">
        <v>2258</v>
      </c>
      <c r="B204" s="1775" t="s">
        <v>16</v>
      </c>
      <c r="C204" s="1775" t="s">
        <v>2751</v>
      </c>
      <c r="D204" s="1775" t="s">
        <v>2752</v>
      </c>
      <c r="E204" s="1775" t="s">
        <v>2753</v>
      </c>
      <c r="F204" s="1775" t="s">
        <v>2754</v>
      </c>
      <c r="G204" s="1775" t="s">
        <v>28</v>
      </c>
      <c r="H204" s="1775" t="s">
        <v>28</v>
      </c>
      <c r="I204" s="1775" t="s">
        <v>862</v>
      </c>
    </row>
    <row r="205" spans="1:9" ht="11.25" customHeight="1">
      <c r="A205" s="1775" t="s">
        <v>2258</v>
      </c>
      <c r="B205" s="1775" t="s">
        <v>16</v>
      </c>
      <c r="C205" s="1775" t="s">
        <v>2426</v>
      </c>
      <c r="D205" s="1775" t="s">
        <v>2427</v>
      </c>
      <c r="E205" s="1775" t="s">
        <v>2428</v>
      </c>
      <c r="F205" s="1775" t="s">
        <v>2346</v>
      </c>
      <c r="G205" s="1775" t="s">
        <v>28</v>
      </c>
      <c r="H205" s="1775" t="s">
        <v>28</v>
      </c>
      <c r="I205" s="1775" t="s">
        <v>862</v>
      </c>
    </row>
    <row r="206" spans="1:9" ht="11.25" customHeight="1">
      <c r="A206" s="1775" t="s">
        <v>2258</v>
      </c>
      <c r="B206" s="1775" t="s">
        <v>16</v>
      </c>
      <c r="C206" s="1775" t="s">
        <v>2429</v>
      </c>
      <c r="D206" s="1775" t="s">
        <v>2430</v>
      </c>
      <c r="E206" s="1775" t="s">
        <v>2431</v>
      </c>
      <c r="F206" s="1775" t="s">
        <v>2432</v>
      </c>
      <c r="G206" s="1775" t="s">
        <v>2433</v>
      </c>
      <c r="H206" s="1775" t="s">
        <v>28</v>
      </c>
      <c r="I206" s="1775" t="s">
        <v>862</v>
      </c>
    </row>
    <row r="207" spans="1:9" ht="11.25" customHeight="1">
      <c r="A207" s="1775" t="s">
        <v>2258</v>
      </c>
      <c r="B207" s="1775" t="s">
        <v>16</v>
      </c>
      <c r="C207" s="1775" t="s">
        <v>2434</v>
      </c>
      <c r="D207" s="1775" t="s">
        <v>2435</v>
      </c>
      <c r="E207" s="1775" t="s">
        <v>2436</v>
      </c>
      <c r="F207" s="1775" t="s">
        <v>2271</v>
      </c>
      <c r="G207" s="1775" t="s">
        <v>28</v>
      </c>
      <c r="H207" s="1775" t="s">
        <v>28</v>
      </c>
      <c r="I207" s="1775" t="s">
        <v>862</v>
      </c>
    </row>
    <row r="208" spans="1:9" ht="11.25" customHeight="1">
      <c r="A208" s="1775" t="s">
        <v>2258</v>
      </c>
      <c r="B208" s="1775" t="s">
        <v>16</v>
      </c>
      <c r="C208" s="1775" t="s">
        <v>2755</v>
      </c>
      <c r="D208" s="1775" t="s">
        <v>2756</v>
      </c>
      <c r="E208" s="1775" t="s">
        <v>2757</v>
      </c>
      <c r="F208" s="1775" t="s">
        <v>2500</v>
      </c>
      <c r="G208" s="1775" t="s">
        <v>28</v>
      </c>
      <c r="H208" s="1775" t="s">
        <v>28</v>
      </c>
      <c r="I208" s="1775" t="s">
        <v>862</v>
      </c>
    </row>
    <row r="209" spans="1:9" ht="11.25" customHeight="1">
      <c r="A209" s="1775" t="s">
        <v>2258</v>
      </c>
      <c r="B209" s="1775" t="s">
        <v>16</v>
      </c>
      <c r="C209" s="1775" t="s">
        <v>2758</v>
      </c>
      <c r="D209" s="1775" t="s">
        <v>2759</v>
      </c>
      <c r="E209" s="1775" t="s">
        <v>2760</v>
      </c>
      <c r="F209" s="1775" t="s">
        <v>2271</v>
      </c>
      <c r="G209" s="1775" t="s">
        <v>28</v>
      </c>
      <c r="H209" s="1775" t="s">
        <v>28</v>
      </c>
      <c r="I209" s="1775" t="s">
        <v>862</v>
      </c>
    </row>
    <row r="210" spans="1:9" ht="11.25" customHeight="1">
      <c r="A210" s="1775" t="s">
        <v>2258</v>
      </c>
      <c r="B210" s="1775" t="s">
        <v>16</v>
      </c>
      <c r="C210" s="1775" t="s">
        <v>2453</v>
      </c>
      <c r="D210" s="1775" t="s">
        <v>2454</v>
      </c>
      <c r="E210" s="1775" t="s">
        <v>2455</v>
      </c>
      <c r="F210" s="1775" t="s">
        <v>2266</v>
      </c>
      <c r="G210" s="1775" t="s">
        <v>28</v>
      </c>
      <c r="H210" s="1775" t="s">
        <v>28</v>
      </c>
      <c r="I210" s="1775" t="s">
        <v>862</v>
      </c>
    </row>
    <row r="211" spans="1:9" ht="11.25" customHeight="1">
      <c r="A211" s="1775" t="s">
        <v>2258</v>
      </c>
      <c r="B211" s="1775" t="s">
        <v>16</v>
      </c>
      <c r="C211" s="1775" t="s">
        <v>2456</v>
      </c>
      <c r="D211" s="1775" t="s">
        <v>2457</v>
      </c>
      <c r="E211" s="1775" t="s">
        <v>2458</v>
      </c>
      <c r="F211" s="1775" t="s">
        <v>2266</v>
      </c>
      <c r="G211" s="1775" t="s">
        <v>2459</v>
      </c>
      <c r="H211" s="1775" t="s">
        <v>28</v>
      </c>
      <c r="I211" s="1775" t="s">
        <v>862</v>
      </c>
    </row>
    <row r="212" spans="1:9" ht="11.25" customHeight="1">
      <c r="A212" s="1775" t="s">
        <v>2258</v>
      </c>
      <c r="B212" s="1775" t="s">
        <v>16</v>
      </c>
      <c r="C212" s="1775" t="s">
        <v>2761</v>
      </c>
      <c r="D212" s="1775" t="s">
        <v>2762</v>
      </c>
      <c r="E212" s="1775" t="s">
        <v>2763</v>
      </c>
      <c r="F212" s="1775" t="s">
        <v>2447</v>
      </c>
      <c r="G212" s="1775" t="s">
        <v>28</v>
      </c>
      <c r="H212" s="1775" t="s">
        <v>28</v>
      </c>
      <c r="I212" s="1775" t="s">
        <v>862</v>
      </c>
    </row>
    <row r="213" spans="1:9" ht="11.25" customHeight="1">
      <c r="A213" s="1775" t="s">
        <v>2258</v>
      </c>
      <c r="B213" s="1775" t="s">
        <v>16</v>
      </c>
      <c r="C213" s="1775" t="s">
        <v>2460</v>
      </c>
      <c r="D213" s="1775" t="s">
        <v>2461</v>
      </c>
      <c r="E213" s="1775" t="s">
        <v>2462</v>
      </c>
      <c r="F213" s="1775" t="s">
        <v>2463</v>
      </c>
      <c r="G213" s="1775" t="s">
        <v>28</v>
      </c>
      <c r="H213" s="1775" t="s">
        <v>28</v>
      </c>
      <c r="I213" s="1775" t="s">
        <v>862</v>
      </c>
    </row>
    <row r="214" spans="1:9" ht="11.25" customHeight="1">
      <c r="A214" s="1775" t="s">
        <v>2258</v>
      </c>
      <c r="B214" s="1775" t="s">
        <v>16</v>
      </c>
      <c r="C214" s="1775" t="s">
        <v>2464</v>
      </c>
      <c r="D214" s="1775" t="s">
        <v>2465</v>
      </c>
      <c r="E214" s="1775" t="s">
        <v>2466</v>
      </c>
      <c r="F214" s="1775" t="s">
        <v>2329</v>
      </c>
      <c r="G214" s="1775" t="s">
        <v>28</v>
      </c>
      <c r="H214" s="1775" t="s">
        <v>28</v>
      </c>
      <c r="I214" s="1775" t="s">
        <v>862</v>
      </c>
    </row>
    <row r="215" spans="1:9" ht="11.25" customHeight="1">
      <c r="A215" s="1775" t="s">
        <v>2258</v>
      </c>
      <c r="B215" s="1775" t="s">
        <v>16</v>
      </c>
      <c r="C215" s="1775" t="s">
        <v>2470</v>
      </c>
      <c r="D215" s="1775" t="s">
        <v>2471</v>
      </c>
      <c r="E215" s="1775" t="s">
        <v>2472</v>
      </c>
      <c r="F215" s="1775" t="s">
        <v>2262</v>
      </c>
      <c r="G215" s="1775" t="s">
        <v>28</v>
      </c>
      <c r="H215" s="1775" t="s">
        <v>28</v>
      </c>
      <c r="I215" s="1775" t="s">
        <v>862</v>
      </c>
    </row>
    <row r="216" spans="1:9" ht="11.25" customHeight="1">
      <c r="A216" s="1775" t="s">
        <v>2258</v>
      </c>
      <c r="B216" s="1775" t="s">
        <v>16</v>
      </c>
      <c r="C216" s="1775" t="s">
        <v>2764</v>
      </c>
      <c r="D216" s="1775" t="s">
        <v>2765</v>
      </c>
      <c r="E216" s="1775" t="s">
        <v>2766</v>
      </c>
      <c r="F216" s="1775" t="s">
        <v>2550</v>
      </c>
      <c r="G216" s="1775" t="s">
        <v>28</v>
      </c>
      <c r="H216" s="1775" t="s">
        <v>28</v>
      </c>
      <c r="I216" s="1775" t="s">
        <v>862</v>
      </c>
    </row>
    <row r="217" spans="1:9" ht="11.25" customHeight="1">
      <c r="A217" s="1775" t="s">
        <v>2258</v>
      </c>
      <c r="B217" s="1775" t="s">
        <v>16</v>
      </c>
      <c r="C217" s="1775" t="s">
        <v>2767</v>
      </c>
      <c r="D217" s="1775" t="s">
        <v>2768</v>
      </c>
      <c r="E217" s="1775" t="s">
        <v>2769</v>
      </c>
      <c r="F217" s="1775" t="s">
        <v>2463</v>
      </c>
      <c r="G217" s="1775" t="s">
        <v>2770</v>
      </c>
      <c r="H217" s="1775" t="s">
        <v>28</v>
      </c>
      <c r="I217" s="1775" t="s">
        <v>862</v>
      </c>
    </row>
    <row r="218" spans="1:9" ht="11.25" customHeight="1">
      <c r="A218" s="1775" t="s">
        <v>2258</v>
      </c>
      <c r="B218" s="1775" t="s">
        <v>16</v>
      </c>
      <c r="C218" s="1775" t="s">
        <v>2771</v>
      </c>
      <c r="D218" s="1775" t="s">
        <v>2772</v>
      </c>
      <c r="E218" s="1775" t="s">
        <v>2773</v>
      </c>
      <c r="F218" s="1775" t="s">
        <v>2774</v>
      </c>
      <c r="G218" s="1775" t="s">
        <v>28</v>
      </c>
      <c r="H218" s="1775" t="s">
        <v>28</v>
      </c>
      <c r="I218" s="1775" t="s">
        <v>862</v>
      </c>
    </row>
    <row r="219" spans="1:9" ht="11.25" customHeight="1">
      <c r="A219" s="1775" t="s">
        <v>2258</v>
      </c>
      <c r="B219" s="1775" t="s">
        <v>16</v>
      </c>
      <c r="C219" s="1775" t="s">
        <v>2473</v>
      </c>
      <c r="D219" s="1775" t="s">
        <v>2474</v>
      </c>
      <c r="E219" s="1775" t="s">
        <v>2475</v>
      </c>
      <c r="F219" s="1775" t="s">
        <v>2476</v>
      </c>
      <c r="G219" s="1775" t="s">
        <v>28</v>
      </c>
      <c r="H219" s="1775" t="s">
        <v>28</v>
      </c>
      <c r="I219" s="1775" t="s">
        <v>862</v>
      </c>
    </row>
    <row r="220" spans="1:9" ht="11.25" customHeight="1">
      <c r="A220" s="1775" t="s">
        <v>2258</v>
      </c>
      <c r="B220" s="1775" t="s">
        <v>16</v>
      </c>
      <c r="C220" s="1775" t="s">
        <v>2775</v>
      </c>
      <c r="D220" s="1775" t="s">
        <v>2776</v>
      </c>
      <c r="E220" s="1775" t="s">
        <v>2777</v>
      </c>
      <c r="F220" s="1775" t="s">
        <v>2480</v>
      </c>
      <c r="G220" s="1775" t="s">
        <v>28</v>
      </c>
      <c r="H220" s="1775" t="s">
        <v>28</v>
      </c>
      <c r="I220" s="1775" t="s">
        <v>862</v>
      </c>
    </row>
    <row r="221" spans="1:9" ht="11.25" customHeight="1">
      <c r="A221" s="1775" t="s">
        <v>2258</v>
      </c>
      <c r="B221" s="1775" t="s">
        <v>16</v>
      </c>
      <c r="C221" s="1775" t="s">
        <v>2778</v>
      </c>
      <c r="D221" s="1775" t="s">
        <v>2779</v>
      </c>
      <c r="E221" s="1775" t="s">
        <v>2780</v>
      </c>
      <c r="F221" s="1775" t="s">
        <v>2359</v>
      </c>
      <c r="G221" s="1775" t="s">
        <v>28</v>
      </c>
      <c r="H221" s="1775" t="s">
        <v>28</v>
      </c>
      <c r="I221" s="1775" t="s">
        <v>862</v>
      </c>
    </row>
    <row r="222" spans="1:9" ht="11.25" customHeight="1">
      <c r="A222" s="1775" t="s">
        <v>2258</v>
      </c>
      <c r="B222" s="1775" t="s">
        <v>16</v>
      </c>
      <c r="C222" s="1775" t="s">
        <v>2491</v>
      </c>
      <c r="D222" s="1775" t="s">
        <v>2492</v>
      </c>
      <c r="E222" s="1775" t="s">
        <v>2493</v>
      </c>
      <c r="F222" s="1775" t="s">
        <v>2463</v>
      </c>
      <c r="G222" s="1775" t="s">
        <v>28</v>
      </c>
      <c r="H222" s="1775" t="s">
        <v>28</v>
      </c>
      <c r="I222" s="1775" t="s">
        <v>862</v>
      </c>
    </row>
    <row r="223" spans="1:9" ht="11.25" customHeight="1">
      <c r="A223" s="1775" t="s">
        <v>2258</v>
      </c>
      <c r="B223" s="1775" t="s">
        <v>16</v>
      </c>
      <c r="C223" s="1775" t="s">
        <v>2497</v>
      </c>
      <c r="D223" s="1775" t="s">
        <v>2498</v>
      </c>
      <c r="E223" s="1775" t="s">
        <v>2499</v>
      </c>
      <c r="F223" s="1775" t="s">
        <v>2500</v>
      </c>
      <c r="G223" s="1775" t="s">
        <v>28</v>
      </c>
      <c r="H223" s="1775" t="s">
        <v>28</v>
      </c>
      <c r="I223" s="1775" t="s">
        <v>862</v>
      </c>
    </row>
    <row r="224" spans="1:9" ht="11.25" customHeight="1">
      <c r="A224" s="1775" t="s">
        <v>2258</v>
      </c>
      <c r="B224" s="1775" t="s">
        <v>16</v>
      </c>
      <c r="C224" s="1775" t="s">
        <v>2781</v>
      </c>
      <c r="D224" s="1775" t="s">
        <v>2782</v>
      </c>
      <c r="E224" s="1775" t="s">
        <v>2783</v>
      </c>
      <c r="F224" s="1775" t="s">
        <v>2500</v>
      </c>
      <c r="G224" s="1775" t="s">
        <v>28</v>
      </c>
      <c r="H224" s="1775" t="s">
        <v>28</v>
      </c>
      <c r="I224" s="1775" t="s">
        <v>862</v>
      </c>
    </row>
    <row r="225" spans="1:9" ht="11.25" customHeight="1">
      <c r="A225" s="1775" t="s">
        <v>2258</v>
      </c>
      <c r="B225" s="1775" t="s">
        <v>16</v>
      </c>
      <c r="C225" s="1775" t="s">
        <v>2505</v>
      </c>
      <c r="D225" s="1775" t="s">
        <v>2506</v>
      </c>
      <c r="E225" s="1775" t="s">
        <v>2507</v>
      </c>
      <c r="F225" s="1775" t="s">
        <v>2508</v>
      </c>
      <c r="G225" s="1775" t="s">
        <v>2509</v>
      </c>
      <c r="H225" s="1775" t="s">
        <v>28</v>
      </c>
      <c r="I225" s="1775" t="s">
        <v>862</v>
      </c>
    </row>
    <row r="226" spans="1:9" ht="11.25" customHeight="1">
      <c r="A226" s="1775" t="s">
        <v>2258</v>
      </c>
      <c r="B226" s="1775" t="s">
        <v>16</v>
      </c>
      <c r="C226" s="1775" t="s">
        <v>2510</v>
      </c>
      <c r="D226" s="1775" t="s">
        <v>2511</v>
      </c>
      <c r="E226" s="1775" t="s">
        <v>2275</v>
      </c>
      <c r="F226" s="1775" t="s">
        <v>2512</v>
      </c>
      <c r="G226" s="1775" t="s">
        <v>28</v>
      </c>
      <c r="H226" s="1775" t="s">
        <v>28</v>
      </c>
      <c r="I226" s="1775" t="s">
        <v>862</v>
      </c>
    </row>
    <row r="227" spans="1:9" ht="11.25" customHeight="1">
      <c r="A227" s="1775" t="s">
        <v>2258</v>
      </c>
      <c r="B227" s="1775" t="s">
        <v>16</v>
      </c>
      <c r="C227" s="1775" t="s">
        <v>2513</v>
      </c>
      <c r="D227" s="1775" t="s">
        <v>2514</v>
      </c>
      <c r="E227" s="1775" t="s">
        <v>2290</v>
      </c>
      <c r="F227" s="1775" t="s">
        <v>2346</v>
      </c>
      <c r="G227" s="1775" t="s">
        <v>28</v>
      </c>
      <c r="H227" s="1775" t="s">
        <v>28</v>
      </c>
      <c r="I227" s="1775" t="s">
        <v>862</v>
      </c>
    </row>
    <row r="228" spans="1:9" ht="11.25" customHeight="1">
      <c r="A228" s="1775" t="s">
        <v>2258</v>
      </c>
      <c r="B228" s="1775" t="s">
        <v>16</v>
      </c>
      <c r="C228" s="1775" t="s">
        <v>2784</v>
      </c>
      <c r="D228" s="1775" t="s">
        <v>2785</v>
      </c>
      <c r="E228" s="1775" t="s">
        <v>2786</v>
      </c>
      <c r="F228" s="1775" t="s">
        <v>2279</v>
      </c>
      <c r="G228" s="1775" t="s">
        <v>28</v>
      </c>
      <c r="H228" s="1775" t="s">
        <v>28</v>
      </c>
      <c r="I228" s="1775" t="s">
        <v>862</v>
      </c>
    </row>
    <row r="229" spans="1:9" ht="11.25" customHeight="1">
      <c r="A229" s="1775" t="s">
        <v>2258</v>
      </c>
      <c r="B229" s="1775" t="s">
        <v>16</v>
      </c>
      <c r="C229" s="1775" t="s">
        <v>2787</v>
      </c>
      <c r="D229" s="1775" t="s">
        <v>2788</v>
      </c>
      <c r="E229" s="1775" t="s">
        <v>2789</v>
      </c>
      <c r="F229" s="1775" t="s">
        <v>2500</v>
      </c>
      <c r="G229" s="1775" t="s">
        <v>2790</v>
      </c>
      <c r="H229" s="1775" t="s">
        <v>28</v>
      </c>
      <c r="I229" s="1775" t="s">
        <v>862</v>
      </c>
    </row>
    <row r="230" spans="1:9" ht="11.25" customHeight="1">
      <c r="A230" s="1775" t="s">
        <v>2258</v>
      </c>
      <c r="B230" s="1775" t="s">
        <v>16</v>
      </c>
      <c r="C230" s="1775" t="s">
        <v>2791</v>
      </c>
      <c r="D230" s="1775" t="s">
        <v>2792</v>
      </c>
      <c r="E230" s="1775" t="s">
        <v>2793</v>
      </c>
      <c r="F230" s="1775" t="s">
        <v>2500</v>
      </c>
      <c r="G230" s="1775" t="s">
        <v>28</v>
      </c>
      <c r="H230" s="1775" t="s">
        <v>28</v>
      </c>
      <c r="I230" s="1775" t="s">
        <v>862</v>
      </c>
    </row>
    <row r="231" spans="1:9" ht="11.25" customHeight="1">
      <c r="A231" s="1775" t="s">
        <v>2258</v>
      </c>
      <c r="B231" s="1775" t="s">
        <v>16</v>
      </c>
      <c r="C231" s="1775" t="s">
        <v>2794</v>
      </c>
      <c r="D231" s="1775" t="s">
        <v>2795</v>
      </c>
      <c r="E231" s="1775" t="s">
        <v>2796</v>
      </c>
      <c r="F231" s="1775" t="s">
        <v>2626</v>
      </c>
      <c r="G231" s="1775" t="s">
        <v>2797</v>
      </c>
      <c r="H231" s="1775" t="s">
        <v>28</v>
      </c>
      <c r="I231" s="1775" t="s">
        <v>862</v>
      </c>
    </row>
    <row r="232" spans="1:9" ht="11.25" customHeight="1">
      <c r="A232" s="1775" t="s">
        <v>2258</v>
      </c>
      <c r="B232" s="1775" t="s">
        <v>16</v>
      </c>
      <c r="C232" s="1775" t="s">
        <v>2798</v>
      </c>
      <c r="D232" s="1775" t="s">
        <v>2799</v>
      </c>
      <c r="E232" s="1775" t="s">
        <v>2800</v>
      </c>
      <c r="F232" s="1775" t="s">
        <v>2626</v>
      </c>
      <c r="G232" s="1775" t="s">
        <v>28</v>
      </c>
      <c r="H232" s="1775" t="s">
        <v>28</v>
      </c>
      <c r="I232" s="1775" t="s">
        <v>862</v>
      </c>
    </row>
    <row r="233" spans="1:9" ht="11.25" customHeight="1">
      <c r="A233" s="1775" t="s">
        <v>2258</v>
      </c>
      <c r="B233" s="1775" t="s">
        <v>16</v>
      </c>
      <c r="C233" s="1775" t="s">
        <v>2801</v>
      </c>
      <c r="D233" s="1775" t="s">
        <v>2802</v>
      </c>
      <c r="E233" s="1775" t="s">
        <v>2803</v>
      </c>
      <c r="F233" s="1775" t="s">
        <v>2329</v>
      </c>
      <c r="G233" s="1775" t="s">
        <v>28</v>
      </c>
      <c r="H233" s="1775" t="s">
        <v>28</v>
      </c>
      <c r="I233" s="1775" t="s">
        <v>862</v>
      </c>
    </row>
    <row r="234" spans="1:9" ht="11.25" customHeight="1">
      <c r="A234" s="1775" t="s">
        <v>2258</v>
      </c>
      <c r="B234" s="1775" t="s">
        <v>16</v>
      </c>
      <c r="C234" s="1775" t="s">
        <v>2518</v>
      </c>
      <c r="D234" s="1775" t="s">
        <v>2519</v>
      </c>
      <c r="E234" s="1775" t="s">
        <v>2520</v>
      </c>
      <c r="F234" s="1775" t="s">
        <v>2447</v>
      </c>
      <c r="G234" s="1775" t="s">
        <v>28</v>
      </c>
      <c r="H234" s="1775" t="s">
        <v>28</v>
      </c>
      <c r="I234" s="1775" t="s">
        <v>862</v>
      </c>
    </row>
    <row r="235" spans="1:9" ht="11.25" customHeight="1">
      <c r="A235" s="1775" t="s">
        <v>2258</v>
      </c>
      <c r="B235" s="1775" t="s">
        <v>16</v>
      </c>
      <c r="C235" s="1775" t="s">
        <v>2804</v>
      </c>
      <c r="D235" s="1775" t="s">
        <v>2805</v>
      </c>
      <c r="E235" s="1775" t="s">
        <v>2806</v>
      </c>
      <c r="F235" s="1775" t="s">
        <v>2271</v>
      </c>
      <c r="G235" s="1775" t="s">
        <v>28</v>
      </c>
      <c r="H235" s="1775" t="s">
        <v>28</v>
      </c>
      <c r="I235" s="1775" t="s">
        <v>862</v>
      </c>
    </row>
    <row r="236" spans="1:9" ht="11.25" customHeight="1">
      <c r="A236" s="1775" t="s">
        <v>2258</v>
      </c>
      <c r="B236" s="1775" t="s">
        <v>16</v>
      </c>
      <c r="C236" s="1775" t="s">
        <v>2521</v>
      </c>
      <c r="D236" s="1775" t="s">
        <v>2522</v>
      </c>
      <c r="E236" s="1775" t="s">
        <v>2309</v>
      </c>
      <c r="F236" s="1775" t="s">
        <v>2523</v>
      </c>
      <c r="G236" s="1775" t="s">
        <v>28</v>
      </c>
      <c r="H236" s="1775" t="s">
        <v>28</v>
      </c>
      <c r="I236" s="1775" t="s">
        <v>862</v>
      </c>
    </row>
    <row r="237" spans="1:9" ht="11.25" customHeight="1">
      <c r="A237" s="1775" t="s">
        <v>2258</v>
      </c>
      <c r="B237" s="1775" t="s">
        <v>16</v>
      </c>
      <c r="C237" s="1775" t="s">
        <v>2526</v>
      </c>
      <c r="D237" s="1775" t="s">
        <v>2527</v>
      </c>
      <c r="E237" s="1775" t="s">
        <v>2528</v>
      </c>
      <c r="F237" s="1775" t="s">
        <v>2529</v>
      </c>
      <c r="G237" s="1775" t="s">
        <v>28</v>
      </c>
      <c r="H237" s="1775" t="s">
        <v>28</v>
      </c>
      <c r="I237" s="1775" t="s">
        <v>862</v>
      </c>
    </row>
    <row r="238" spans="1:9" ht="11.25" customHeight="1">
      <c r="A238" s="1775" t="s">
        <v>2258</v>
      </c>
      <c r="B238" s="1775" t="s">
        <v>16</v>
      </c>
      <c r="C238" s="1775" t="s">
        <v>2259</v>
      </c>
      <c r="D238" s="1775" t="s">
        <v>2260</v>
      </c>
      <c r="E238" s="1775" t="s">
        <v>2261</v>
      </c>
      <c r="F238" s="1775" t="s">
        <v>2262</v>
      </c>
      <c r="G238" s="1775" t="s">
        <v>28</v>
      </c>
      <c r="H238" s="1775" t="s">
        <v>28</v>
      </c>
      <c r="I238" s="1775" t="s">
        <v>915</v>
      </c>
    </row>
    <row r="239" spans="1:9" ht="11.25" customHeight="1">
      <c r="A239" s="1775" t="s">
        <v>2258</v>
      </c>
      <c r="B239" s="1775" t="s">
        <v>16</v>
      </c>
      <c r="C239" s="1775" t="s">
        <v>2807</v>
      </c>
      <c r="D239" s="1775" t="s">
        <v>2808</v>
      </c>
      <c r="E239" s="1775" t="s">
        <v>2809</v>
      </c>
      <c r="F239" s="1775" t="s">
        <v>52</v>
      </c>
      <c r="G239" s="1775" t="s">
        <v>2810</v>
      </c>
      <c r="H239" s="1775" t="s">
        <v>28</v>
      </c>
      <c r="I239" s="1775" t="s">
        <v>915</v>
      </c>
    </row>
    <row r="240" spans="1:9" ht="11.25" customHeight="1">
      <c r="A240" s="1775" t="s">
        <v>2258</v>
      </c>
      <c r="B240" s="1775" t="s">
        <v>16</v>
      </c>
      <c r="C240" s="1775" t="s">
        <v>2811</v>
      </c>
      <c r="D240" s="1775" t="s">
        <v>2812</v>
      </c>
      <c r="E240" s="1775" t="s">
        <v>2813</v>
      </c>
      <c r="F240" s="1775" t="s">
        <v>2300</v>
      </c>
      <c r="G240" s="1775" t="s">
        <v>28</v>
      </c>
      <c r="H240" s="1775" t="s">
        <v>28</v>
      </c>
      <c r="I240" s="1775" t="s">
        <v>915</v>
      </c>
    </row>
    <row r="241" spans="1:9" ht="11.25" customHeight="1">
      <c r="A241" s="1775" t="s">
        <v>2258</v>
      </c>
      <c r="B241" s="1775" t="s">
        <v>16</v>
      </c>
      <c r="C241" s="1775" t="s">
        <v>2814</v>
      </c>
      <c r="D241" s="1775" t="s">
        <v>2815</v>
      </c>
      <c r="E241" s="1775" t="s">
        <v>2816</v>
      </c>
      <c r="F241" s="1775" t="s">
        <v>2334</v>
      </c>
      <c r="G241" s="1775" t="s">
        <v>28</v>
      </c>
      <c r="H241" s="1775" t="s">
        <v>28</v>
      </c>
      <c r="I241" s="1775" t="s">
        <v>915</v>
      </c>
    </row>
    <row r="242" spans="1:9" ht="11.25" customHeight="1">
      <c r="A242" s="1775" t="s">
        <v>2258</v>
      </c>
      <c r="B242" s="1775" t="s">
        <v>16</v>
      </c>
      <c r="C242" s="1775" t="s">
        <v>2277</v>
      </c>
      <c r="D242" s="1775" t="s">
        <v>2278</v>
      </c>
      <c r="E242" s="1775" t="s">
        <v>2275</v>
      </c>
      <c r="F242" s="1775" t="s">
        <v>2279</v>
      </c>
      <c r="G242" s="1775" t="s">
        <v>28</v>
      </c>
      <c r="H242" s="1775" t="s">
        <v>28</v>
      </c>
      <c r="I242" s="1775" t="s">
        <v>915</v>
      </c>
    </row>
    <row r="243" spans="1:9" ht="11.25" customHeight="1">
      <c r="A243" s="1775" t="s">
        <v>2258</v>
      </c>
      <c r="B243" s="1775" t="s">
        <v>16</v>
      </c>
      <c r="C243" s="1775" t="s">
        <v>2280</v>
      </c>
      <c r="D243" s="1775" t="s">
        <v>2281</v>
      </c>
      <c r="E243" s="1775" t="s">
        <v>2282</v>
      </c>
      <c r="F243" s="1775" t="s">
        <v>2283</v>
      </c>
      <c r="G243" s="1775" t="s">
        <v>28</v>
      </c>
      <c r="H243" s="1775" t="s">
        <v>28</v>
      </c>
      <c r="I243" s="1775" t="s">
        <v>915</v>
      </c>
    </row>
    <row r="244" spans="1:9" ht="11.25" customHeight="1">
      <c r="A244" s="1775" t="s">
        <v>2258</v>
      </c>
      <c r="B244" s="1775" t="s">
        <v>16</v>
      </c>
      <c r="C244" s="1775" t="s">
        <v>2284</v>
      </c>
      <c r="D244" s="1775" t="s">
        <v>2285</v>
      </c>
      <c r="E244" s="1775" t="s">
        <v>2286</v>
      </c>
      <c r="F244" s="1775" t="s">
        <v>2271</v>
      </c>
      <c r="G244" s="1775" t="s">
        <v>2287</v>
      </c>
      <c r="H244" s="1775" t="s">
        <v>28</v>
      </c>
      <c r="I244" s="1775" t="s">
        <v>915</v>
      </c>
    </row>
    <row r="245" spans="1:9" ht="11.25" customHeight="1">
      <c r="A245" s="1775" t="s">
        <v>2258</v>
      </c>
      <c r="B245" s="1775" t="s">
        <v>16</v>
      </c>
      <c r="C245" s="1775" t="s">
        <v>2559</v>
      </c>
      <c r="D245" s="1775" t="s">
        <v>2560</v>
      </c>
      <c r="E245" s="1775" t="s">
        <v>2561</v>
      </c>
      <c r="F245" s="1775" t="s">
        <v>2271</v>
      </c>
      <c r="G245" s="1775" t="s">
        <v>28</v>
      </c>
      <c r="H245" s="1775" t="s">
        <v>28</v>
      </c>
      <c r="I245" s="1775" t="s">
        <v>915</v>
      </c>
    </row>
    <row r="246" spans="1:9" ht="11.25" customHeight="1">
      <c r="A246" s="1775" t="s">
        <v>2258</v>
      </c>
      <c r="B246" s="1775" t="s">
        <v>16</v>
      </c>
      <c r="C246" s="1775" t="s">
        <v>2288</v>
      </c>
      <c r="D246" s="1775" t="s">
        <v>2289</v>
      </c>
      <c r="E246" s="1775" t="s">
        <v>2290</v>
      </c>
      <c r="F246" s="1775" t="s">
        <v>2291</v>
      </c>
      <c r="G246" s="1775" t="s">
        <v>2292</v>
      </c>
      <c r="H246" s="1775" t="s">
        <v>28</v>
      </c>
      <c r="I246" s="1775" t="s">
        <v>915</v>
      </c>
    </row>
    <row r="247" spans="1:9" ht="11.25" customHeight="1">
      <c r="A247" s="1775" t="s">
        <v>2258</v>
      </c>
      <c r="B247" s="1775" t="s">
        <v>16</v>
      </c>
      <c r="C247" s="1775" t="s">
        <v>2297</v>
      </c>
      <c r="D247" s="1775" t="s">
        <v>2298</v>
      </c>
      <c r="E247" s="1775" t="s">
        <v>2299</v>
      </c>
      <c r="F247" s="1775" t="s">
        <v>2300</v>
      </c>
      <c r="G247" s="1775" t="s">
        <v>28</v>
      </c>
      <c r="H247" s="1775" t="s">
        <v>28</v>
      </c>
      <c r="I247" s="1775" t="s">
        <v>915</v>
      </c>
    </row>
    <row r="248" spans="1:9" ht="11.25" customHeight="1">
      <c r="A248" s="1775" t="s">
        <v>2258</v>
      </c>
      <c r="B248" s="1775" t="s">
        <v>16</v>
      </c>
      <c r="C248" s="1775" t="s">
        <v>2562</v>
      </c>
      <c r="D248" s="1775" t="s">
        <v>2563</v>
      </c>
      <c r="E248" s="1775" t="s">
        <v>2564</v>
      </c>
      <c r="F248" s="1775" t="s">
        <v>2376</v>
      </c>
      <c r="G248" s="1775" t="s">
        <v>28</v>
      </c>
      <c r="H248" s="1775" t="s">
        <v>28</v>
      </c>
      <c r="I248" s="1775" t="s">
        <v>915</v>
      </c>
    </row>
    <row r="249" spans="1:9" ht="11.25" customHeight="1">
      <c r="A249" s="1775" t="s">
        <v>2258</v>
      </c>
      <c r="B249" s="1775" t="s">
        <v>16</v>
      </c>
      <c r="C249" s="1775" t="s">
        <v>2817</v>
      </c>
      <c r="D249" s="1775" t="s">
        <v>2818</v>
      </c>
      <c r="E249" s="1775" t="s">
        <v>2819</v>
      </c>
      <c r="F249" s="1775" t="s">
        <v>2346</v>
      </c>
      <c r="G249" s="1775" t="s">
        <v>28</v>
      </c>
      <c r="H249" s="1775" t="s">
        <v>28</v>
      </c>
      <c r="I249" s="1775" t="s">
        <v>915</v>
      </c>
    </row>
    <row r="250" spans="1:9" ht="11.25" customHeight="1">
      <c r="A250" s="1775" t="s">
        <v>2258</v>
      </c>
      <c r="B250" s="1775" t="s">
        <v>16</v>
      </c>
      <c r="C250" s="1775" t="s">
        <v>2311</v>
      </c>
      <c r="D250" s="1775" t="s">
        <v>2312</v>
      </c>
      <c r="E250" s="1775" t="s">
        <v>2309</v>
      </c>
      <c r="F250" s="1775" t="s">
        <v>2313</v>
      </c>
      <c r="G250" s="1775" t="s">
        <v>28</v>
      </c>
      <c r="H250" s="1775" t="s">
        <v>28</v>
      </c>
      <c r="I250" s="1775" t="s">
        <v>915</v>
      </c>
    </row>
    <row r="251" spans="1:9" ht="11.25" customHeight="1">
      <c r="A251" s="1775" t="s">
        <v>2258</v>
      </c>
      <c r="B251" s="1775" t="s">
        <v>16</v>
      </c>
      <c r="C251" s="1775" t="s">
        <v>2820</v>
      </c>
      <c r="D251" s="1775" t="s">
        <v>2821</v>
      </c>
      <c r="E251" s="1775" t="s">
        <v>2822</v>
      </c>
      <c r="F251" s="1775" t="s">
        <v>2823</v>
      </c>
      <c r="G251" s="1775" t="s">
        <v>28</v>
      </c>
      <c r="H251" s="1775" t="s">
        <v>28</v>
      </c>
      <c r="I251" s="1775" t="s">
        <v>915</v>
      </c>
    </row>
    <row r="252" spans="1:9" ht="11.25" customHeight="1">
      <c r="A252" s="1775" t="s">
        <v>2258</v>
      </c>
      <c r="B252" s="1775" t="s">
        <v>16</v>
      </c>
      <c r="C252" s="1775" t="s">
        <v>2317</v>
      </c>
      <c r="D252" s="1775" t="s">
        <v>2318</v>
      </c>
      <c r="E252" s="1775" t="s">
        <v>2319</v>
      </c>
      <c r="F252" s="1775" t="s">
        <v>584</v>
      </c>
      <c r="G252" s="1775" t="s">
        <v>28</v>
      </c>
      <c r="H252" s="1775" t="s">
        <v>28</v>
      </c>
      <c r="I252" s="1775" t="s">
        <v>915</v>
      </c>
    </row>
    <row r="253" spans="1:9" ht="11.25" customHeight="1">
      <c r="A253" s="1775" t="s">
        <v>2258</v>
      </c>
      <c r="B253" s="1775" t="s">
        <v>16</v>
      </c>
      <c r="C253" s="1775" t="s">
        <v>2824</v>
      </c>
      <c r="D253" s="1775" t="s">
        <v>2825</v>
      </c>
      <c r="E253" s="1775" t="s">
        <v>2826</v>
      </c>
      <c r="F253" s="1775" t="s">
        <v>584</v>
      </c>
      <c r="G253" s="1775" t="s">
        <v>28</v>
      </c>
      <c r="H253" s="1775" t="s">
        <v>28</v>
      </c>
      <c r="I253" s="1775" t="s">
        <v>915</v>
      </c>
    </row>
    <row r="254" spans="1:9" ht="11.25" customHeight="1">
      <c r="A254" s="1775" t="s">
        <v>2258</v>
      </c>
      <c r="B254" s="1775" t="s">
        <v>16</v>
      </c>
      <c r="C254" s="1775" t="s">
        <v>2617</v>
      </c>
      <c r="D254" s="1775" t="s">
        <v>2618</v>
      </c>
      <c r="E254" s="1775" t="s">
        <v>2619</v>
      </c>
      <c r="F254" s="1775" t="s">
        <v>2447</v>
      </c>
      <c r="G254" s="1775" t="s">
        <v>2592</v>
      </c>
      <c r="H254" s="1775" t="s">
        <v>28</v>
      </c>
      <c r="I254" s="1775" t="s">
        <v>915</v>
      </c>
    </row>
    <row r="255" spans="1:9" ht="11.25" customHeight="1">
      <c r="A255" s="1775" t="s">
        <v>2258</v>
      </c>
      <c r="B255" s="1775" t="s">
        <v>16</v>
      </c>
      <c r="C255" s="1775" t="s">
        <v>2623</v>
      </c>
      <c r="D255" s="1775" t="s">
        <v>2624</v>
      </c>
      <c r="E255" s="1775" t="s">
        <v>2625</v>
      </c>
      <c r="F255" s="1775" t="s">
        <v>2626</v>
      </c>
      <c r="G255" s="1775" t="s">
        <v>28</v>
      </c>
      <c r="H255" s="1775" t="s">
        <v>28</v>
      </c>
      <c r="I255" s="1775" t="s">
        <v>915</v>
      </c>
    </row>
    <row r="256" spans="1:9" ht="11.25" customHeight="1">
      <c r="A256" s="1775" t="s">
        <v>2258</v>
      </c>
      <c r="B256" s="1775" t="s">
        <v>16</v>
      </c>
      <c r="C256" s="1775" t="s">
        <v>28</v>
      </c>
      <c r="D256" s="1775" t="s">
        <v>2324</v>
      </c>
      <c r="E256" s="1775" t="s">
        <v>2325</v>
      </c>
      <c r="F256" s="1775" t="s">
        <v>2271</v>
      </c>
      <c r="G256" s="1775" t="s">
        <v>28</v>
      </c>
      <c r="H256" s="1775" t="s">
        <v>28</v>
      </c>
      <c r="I256" s="1775" t="s">
        <v>915</v>
      </c>
    </row>
    <row r="257" spans="1:9" ht="11.25" customHeight="1">
      <c r="A257" s="1775" t="s">
        <v>2258</v>
      </c>
      <c r="B257" s="1775" t="s">
        <v>16</v>
      </c>
      <c r="C257" s="1775" t="s">
        <v>2630</v>
      </c>
      <c r="D257" s="1775" t="s">
        <v>2631</v>
      </c>
      <c r="E257" s="1775" t="s">
        <v>2632</v>
      </c>
      <c r="F257" s="1775" t="s">
        <v>2329</v>
      </c>
      <c r="G257" s="1775" t="s">
        <v>2633</v>
      </c>
      <c r="H257" s="1775" t="s">
        <v>28</v>
      </c>
      <c r="I257" s="1775" t="s">
        <v>915</v>
      </c>
    </row>
    <row r="258" spans="1:9" ht="11.25" customHeight="1">
      <c r="A258" s="1775" t="s">
        <v>2258</v>
      </c>
      <c r="B258" s="1775" t="s">
        <v>16</v>
      </c>
      <c r="C258" s="1775" t="s">
        <v>2634</v>
      </c>
      <c r="D258" s="1775" t="s">
        <v>2635</v>
      </c>
      <c r="E258" s="1775" t="s">
        <v>2636</v>
      </c>
      <c r="F258" s="1775" t="s">
        <v>2599</v>
      </c>
      <c r="G258" s="1775" t="s">
        <v>2637</v>
      </c>
      <c r="H258" s="1775" t="s">
        <v>28</v>
      </c>
      <c r="I258" s="1775" t="s">
        <v>915</v>
      </c>
    </row>
    <row r="259" spans="1:9" ht="11.25" customHeight="1">
      <c r="A259" s="1775" t="s">
        <v>2258</v>
      </c>
      <c r="B259" s="1775" t="s">
        <v>16</v>
      </c>
      <c r="C259" s="1775" t="s">
        <v>2641</v>
      </c>
      <c r="D259" s="1775" t="s">
        <v>2642</v>
      </c>
      <c r="E259" s="1775" t="s">
        <v>2643</v>
      </c>
      <c r="F259" s="1775" t="s">
        <v>2447</v>
      </c>
      <c r="G259" s="1775" t="s">
        <v>28</v>
      </c>
      <c r="H259" s="1775" t="s">
        <v>28</v>
      </c>
      <c r="I259" s="1775" t="s">
        <v>915</v>
      </c>
    </row>
    <row r="260" spans="1:9" ht="11.25" customHeight="1">
      <c r="A260" s="1775" t="s">
        <v>2258</v>
      </c>
      <c r="B260" s="1775" t="s">
        <v>16</v>
      </c>
      <c r="C260" s="1775" t="s">
        <v>2644</v>
      </c>
      <c r="D260" s="1775" t="s">
        <v>2645</v>
      </c>
      <c r="E260" s="1775" t="s">
        <v>2646</v>
      </c>
      <c r="F260" s="1775" t="s">
        <v>2376</v>
      </c>
      <c r="G260" s="1775" t="s">
        <v>28</v>
      </c>
      <c r="H260" s="1775" t="s">
        <v>28</v>
      </c>
      <c r="I260" s="1775" t="s">
        <v>915</v>
      </c>
    </row>
    <row r="261" spans="1:9" ht="11.25" customHeight="1">
      <c r="A261" s="1775" t="s">
        <v>2258</v>
      </c>
      <c r="B261" s="1775" t="s">
        <v>16</v>
      </c>
      <c r="C261" s="1775" t="s">
        <v>2647</v>
      </c>
      <c r="D261" s="1775" t="s">
        <v>2648</v>
      </c>
      <c r="E261" s="1775" t="s">
        <v>2649</v>
      </c>
      <c r="F261" s="1775" t="s">
        <v>2650</v>
      </c>
      <c r="G261" s="1775" t="s">
        <v>28</v>
      </c>
      <c r="H261" s="1775" t="s">
        <v>28</v>
      </c>
      <c r="I261" s="1775" t="s">
        <v>915</v>
      </c>
    </row>
    <row r="262" spans="1:9" ht="11.25" customHeight="1">
      <c r="A262" s="1775" t="s">
        <v>2258</v>
      </c>
      <c r="B262" s="1775" t="s">
        <v>16</v>
      </c>
      <c r="C262" s="1775" t="s">
        <v>2651</v>
      </c>
      <c r="D262" s="1775" t="s">
        <v>2652</v>
      </c>
      <c r="E262" s="1775" t="s">
        <v>2653</v>
      </c>
      <c r="F262" s="1775" t="s">
        <v>2346</v>
      </c>
      <c r="G262" s="1775" t="s">
        <v>28</v>
      </c>
      <c r="H262" s="1775" t="s">
        <v>28</v>
      </c>
      <c r="I262" s="1775" t="s">
        <v>915</v>
      </c>
    </row>
    <row r="263" spans="1:9" ht="11.25" customHeight="1">
      <c r="A263" s="1775" t="s">
        <v>2258</v>
      </c>
      <c r="B263" s="1775" t="s">
        <v>16</v>
      </c>
      <c r="C263" s="1775" t="s">
        <v>13</v>
      </c>
      <c r="D263" s="1775" t="s">
        <v>47</v>
      </c>
      <c r="E263" s="1775" t="s">
        <v>50</v>
      </c>
      <c r="F263" s="1775" t="s">
        <v>52</v>
      </c>
      <c r="G263" s="1775" t="s">
        <v>28</v>
      </c>
      <c r="H263" s="1775" t="s">
        <v>28</v>
      </c>
      <c r="I263" s="1775" t="s">
        <v>915</v>
      </c>
    </row>
    <row r="264" spans="1:9" ht="11.25" customHeight="1">
      <c r="A264" s="1775" t="s">
        <v>2258</v>
      </c>
      <c r="B264" s="1775" t="s">
        <v>16</v>
      </c>
      <c r="C264" s="1775" t="s">
        <v>2657</v>
      </c>
      <c r="D264" s="1775" t="s">
        <v>2658</v>
      </c>
      <c r="E264" s="1775" t="s">
        <v>2659</v>
      </c>
      <c r="F264" s="1775" t="s">
        <v>2500</v>
      </c>
      <c r="G264" s="1775" t="s">
        <v>2660</v>
      </c>
      <c r="H264" s="1775" t="s">
        <v>28</v>
      </c>
      <c r="I264" s="1775" t="s">
        <v>915</v>
      </c>
    </row>
    <row r="265" spans="1:9" ht="11.25" customHeight="1">
      <c r="A265" s="1775" t="s">
        <v>2258</v>
      </c>
      <c r="B265" s="1775" t="s">
        <v>16</v>
      </c>
      <c r="C265" s="1775" t="s">
        <v>2661</v>
      </c>
      <c r="D265" s="1775" t="s">
        <v>2662</v>
      </c>
      <c r="E265" s="1775" t="s">
        <v>2663</v>
      </c>
      <c r="F265" s="1775" t="s">
        <v>2504</v>
      </c>
      <c r="G265" s="1775" t="s">
        <v>2664</v>
      </c>
      <c r="H265" s="1775" t="s">
        <v>28</v>
      </c>
      <c r="I265" s="1775" t="s">
        <v>915</v>
      </c>
    </row>
    <row r="266" spans="1:9" ht="11.25" customHeight="1">
      <c r="A266" s="1775" t="s">
        <v>2258</v>
      </c>
      <c r="B266" s="1775" t="s">
        <v>16</v>
      </c>
      <c r="C266" s="1775" t="s">
        <v>2347</v>
      </c>
      <c r="D266" s="1775" t="s">
        <v>2348</v>
      </c>
      <c r="E266" s="1775" t="s">
        <v>2349</v>
      </c>
      <c r="F266" s="1775" t="s">
        <v>52</v>
      </c>
      <c r="G266" s="1775" t="s">
        <v>28</v>
      </c>
      <c r="H266" s="1775" t="s">
        <v>28</v>
      </c>
      <c r="I266" s="1775" t="s">
        <v>915</v>
      </c>
    </row>
    <row r="267" spans="1:9" ht="11.25" customHeight="1">
      <c r="A267" s="1775" t="s">
        <v>2258</v>
      </c>
      <c r="B267" s="1775" t="s">
        <v>16</v>
      </c>
      <c r="C267" s="1775" t="s">
        <v>2665</v>
      </c>
      <c r="D267" s="1775" t="s">
        <v>2666</v>
      </c>
      <c r="E267" s="1775" t="s">
        <v>2667</v>
      </c>
      <c r="F267" s="1775" t="s">
        <v>2359</v>
      </c>
      <c r="G267" s="1775" t="s">
        <v>28</v>
      </c>
      <c r="H267" s="1775" t="s">
        <v>28</v>
      </c>
      <c r="I267" s="1775" t="s">
        <v>915</v>
      </c>
    </row>
    <row r="268" spans="1:9" ht="11.25" customHeight="1">
      <c r="A268" s="1775" t="s">
        <v>2258</v>
      </c>
      <c r="B268" s="1775" t="s">
        <v>16</v>
      </c>
      <c r="C268" s="1775" t="s">
        <v>2668</v>
      </c>
      <c r="D268" s="1775" t="s">
        <v>2669</v>
      </c>
      <c r="E268" s="1775" t="s">
        <v>2670</v>
      </c>
      <c r="F268" s="1775" t="s">
        <v>2447</v>
      </c>
      <c r="G268" s="1775" t="s">
        <v>2671</v>
      </c>
      <c r="H268" s="1775" t="s">
        <v>28</v>
      </c>
      <c r="I268" s="1775" t="s">
        <v>915</v>
      </c>
    </row>
    <row r="269" spans="1:9" ht="11.25" customHeight="1">
      <c r="A269" s="1775" t="s">
        <v>2258</v>
      </c>
      <c r="B269" s="1775" t="s">
        <v>16</v>
      </c>
      <c r="C269" s="1775" t="s">
        <v>2672</v>
      </c>
      <c r="D269" s="1775" t="s">
        <v>2673</v>
      </c>
      <c r="E269" s="1775" t="s">
        <v>2674</v>
      </c>
      <c r="F269" s="1775" t="s">
        <v>52</v>
      </c>
      <c r="G269" s="1775" t="s">
        <v>2675</v>
      </c>
      <c r="H269" s="1775" t="s">
        <v>28</v>
      </c>
      <c r="I269" s="1775" t="s">
        <v>915</v>
      </c>
    </row>
    <row r="270" spans="1:9" ht="11.25" customHeight="1">
      <c r="A270" s="1775" t="s">
        <v>2258</v>
      </c>
      <c r="B270" s="1775" t="s">
        <v>16</v>
      </c>
      <c r="C270" s="1775" t="s">
        <v>2676</v>
      </c>
      <c r="D270" s="1775" t="s">
        <v>2677</v>
      </c>
      <c r="E270" s="1775" t="s">
        <v>2678</v>
      </c>
      <c r="F270" s="1775" t="s">
        <v>2271</v>
      </c>
      <c r="G270" s="1775" t="s">
        <v>28</v>
      </c>
      <c r="H270" s="1775" t="s">
        <v>28</v>
      </c>
      <c r="I270" s="1775" t="s">
        <v>915</v>
      </c>
    </row>
    <row r="271" spans="1:9" ht="11.25" customHeight="1">
      <c r="A271" s="1775" t="s">
        <v>2258</v>
      </c>
      <c r="B271" s="1775" t="s">
        <v>16</v>
      </c>
      <c r="C271" s="1775" t="s">
        <v>2679</v>
      </c>
      <c r="D271" s="1775" t="s">
        <v>2680</v>
      </c>
      <c r="E271" s="1775" t="s">
        <v>2681</v>
      </c>
      <c r="F271" s="1775" t="s">
        <v>52</v>
      </c>
      <c r="G271" s="1775" t="s">
        <v>28</v>
      </c>
      <c r="H271" s="1775" t="s">
        <v>28</v>
      </c>
      <c r="I271" s="1775" t="s">
        <v>915</v>
      </c>
    </row>
    <row r="272" spans="1:9" ht="11.25" customHeight="1">
      <c r="A272" s="1775" t="s">
        <v>2258</v>
      </c>
      <c r="B272" s="1775" t="s">
        <v>16</v>
      </c>
      <c r="C272" s="1775" t="s">
        <v>2350</v>
      </c>
      <c r="D272" s="1775" t="s">
        <v>2351</v>
      </c>
      <c r="E272" s="1775" t="s">
        <v>2352</v>
      </c>
      <c r="F272" s="1775" t="s">
        <v>2334</v>
      </c>
      <c r="G272" s="1775" t="s">
        <v>28</v>
      </c>
      <c r="H272" s="1775" t="s">
        <v>28</v>
      </c>
      <c r="I272" s="1775" t="s">
        <v>915</v>
      </c>
    </row>
    <row r="273" spans="1:9" ht="11.25" customHeight="1">
      <c r="A273" s="1775" t="s">
        <v>2258</v>
      </c>
      <c r="B273" s="1775" t="s">
        <v>16</v>
      </c>
      <c r="C273" s="1775" t="s">
        <v>2682</v>
      </c>
      <c r="D273" s="1775" t="s">
        <v>2683</v>
      </c>
      <c r="E273" s="1775" t="s">
        <v>2684</v>
      </c>
      <c r="F273" s="1775" t="s">
        <v>2300</v>
      </c>
      <c r="G273" s="1775" t="s">
        <v>28</v>
      </c>
      <c r="H273" s="1775" t="s">
        <v>28</v>
      </c>
      <c r="I273" s="1775" t="s">
        <v>915</v>
      </c>
    </row>
    <row r="274" spans="1:9" ht="11.25" customHeight="1">
      <c r="A274" s="1775" t="s">
        <v>2258</v>
      </c>
      <c r="B274" s="1775" t="s">
        <v>16</v>
      </c>
      <c r="C274" s="1775" t="s">
        <v>2685</v>
      </c>
      <c r="D274" s="1775" t="s">
        <v>2686</v>
      </c>
      <c r="E274" s="1775" t="s">
        <v>2687</v>
      </c>
      <c r="F274" s="1775" t="s">
        <v>2346</v>
      </c>
      <c r="G274" s="1775" t="s">
        <v>28</v>
      </c>
      <c r="H274" s="1775" t="s">
        <v>28</v>
      </c>
      <c r="I274" s="1775" t="s">
        <v>915</v>
      </c>
    </row>
    <row r="275" spans="1:9" ht="11.25" customHeight="1">
      <c r="A275" s="1775" t="s">
        <v>2258</v>
      </c>
      <c r="B275" s="1775" t="s">
        <v>16</v>
      </c>
      <c r="C275" s="1775" t="s">
        <v>2353</v>
      </c>
      <c r="D275" s="1775" t="s">
        <v>2354</v>
      </c>
      <c r="E275" s="1775" t="s">
        <v>2355</v>
      </c>
      <c r="F275" s="1775" t="s">
        <v>2346</v>
      </c>
      <c r="G275" s="1775" t="s">
        <v>28</v>
      </c>
      <c r="H275" s="1775" t="s">
        <v>28</v>
      </c>
      <c r="I275" s="1775" t="s">
        <v>915</v>
      </c>
    </row>
    <row r="276" spans="1:9" ht="11.25" customHeight="1">
      <c r="A276" s="1775" t="s">
        <v>2258</v>
      </c>
      <c r="B276" s="1775" t="s">
        <v>16</v>
      </c>
      <c r="C276" s="1775" t="s">
        <v>2366</v>
      </c>
      <c r="D276" s="1775" t="s">
        <v>2367</v>
      </c>
      <c r="E276" s="1775" t="s">
        <v>2368</v>
      </c>
      <c r="F276" s="1775" t="s">
        <v>2359</v>
      </c>
      <c r="G276" s="1775" t="s">
        <v>2369</v>
      </c>
      <c r="H276" s="1775" t="s">
        <v>28</v>
      </c>
      <c r="I276" s="1775" t="s">
        <v>915</v>
      </c>
    </row>
    <row r="277" spans="1:9" ht="11.25" customHeight="1">
      <c r="A277" s="1775" t="s">
        <v>2258</v>
      </c>
      <c r="B277" s="1775" t="s">
        <v>16</v>
      </c>
      <c r="C277" s="1775" t="s">
        <v>2699</v>
      </c>
      <c r="D277" s="1775" t="s">
        <v>2700</v>
      </c>
      <c r="E277" s="1775" t="s">
        <v>2701</v>
      </c>
      <c r="F277" s="1775" t="s">
        <v>2376</v>
      </c>
      <c r="G277" s="1775" t="s">
        <v>28</v>
      </c>
      <c r="H277" s="1775" t="s">
        <v>28</v>
      </c>
      <c r="I277" s="1775" t="s">
        <v>915</v>
      </c>
    </row>
    <row r="278" spans="1:9" ht="11.25" customHeight="1">
      <c r="A278" s="1775" t="s">
        <v>2258</v>
      </c>
      <c r="B278" s="1775" t="s">
        <v>16</v>
      </c>
      <c r="C278" s="1775" t="s">
        <v>2370</v>
      </c>
      <c r="D278" s="1775" t="s">
        <v>2371</v>
      </c>
      <c r="E278" s="1775" t="s">
        <v>2372</v>
      </c>
      <c r="F278" s="1775" t="s">
        <v>2266</v>
      </c>
      <c r="G278" s="1775" t="s">
        <v>28</v>
      </c>
      <c r="H278" s="1775" t="s">
        <v>28</v>
      </c>
      <c r="I278" s="1775" t="s">
        <v>915</v>
      </c>
    </row>
    <row r="279" spans="1:9" ht="11.25" customHeight="1">
      <c r="A279" s="1775" t="s">
        <v>2258</v>
      </c>
      <c r="B279" s="1775" t="s">
        <v>16</v>
      </c>
      <c r="C279" s="1775" t="s">
        <v>2706</v>
      </c>
      <c r="D279" s="1775" t="s">
        <v>2707</v>
      </c>
      <c r="E279" s="1775" t="s">
        <v>2708</v>
      </c>
      <c r="F279" s="1775" t="s">
        <v>2480</v>
      </c>
      <c r="G279" s="1775" t="s">
        <v>28</v>
      </c>
      <c r="H279" s="1775" t="s">
        <v>28</v>
      </c>
      <c r="I279" s="1775" t="s">
        <v>915</v>
      </c>
    </row>
    <row r="280" spans="1:9" ht="11.25" customHeight="1">
      <c r="A280" s="1775" t="s">
        <v>2258</v>
      </c>
      <c r="B280" s="1775" t="s">
        <v>16</v>
      </c>
      <c r="C280" s="1775" t="s">
        <v>2718</v>
      </c>
      <c r="D280" s="1775" t="s">
        <v>2719</v>
      </c>
      <c r="E280" s="1775" t="s">
        <v>2720</v>
      </c>
      <c r="F280" s="1775" t="s">
        <v>2376</v>
      </c>
      <c r="G280" s="1775" t="s">
        <v>28</v>
      </c>
      <c r="H280" s="1775" t="s">
        <v>28</v>
      </c>
      <c r="I280" s="1775" t="s">
        <v>915</v>
      </c>
    </row>
    <row r="281" spans="1:9" ht="11.25" customHeight="1">
      <c r="A281" s="1775" t="s">
        <v>2258</v>
      </c>
      <c r="B281" s="1775" t="s">
        <v>16</v>
      </c>
      <c r="C281" s="1775" t="s">
        <v>2721</v>
      </c>
      <c r="D281" s="1775" t="s">
        <v>2722</v>
      </c>
      <c r="E281" s="1775" t="s">
        <v>2723</v>
      </c>
      <c r="F281" s="1775" t="s">
        <v>2364</v>
      </c>
      <c r="G281" s="1775" t="s">
        <v>2724</v>
      </c>
      <c r="H281" s="1775" t="s">
        <v>28</v>
      </c>
      <c r="I281" s="1775" t="s">
        <v>915</v>
      </c>
    </row>
    <row r="282" spans="1:9" ht="11.25" customHeight="1">
      <c r="A282" s="1775" t="s">
        <v>2258</v>
      </c>
      <c r="B282" s="1775" t="s">
        <v>16</v>
      </c>
      <c r="C282" s="1775" t="s">
        <v>2725</v>
      </c>
      <c r="D282" s="1775" t="s">
        <v>2402</v>
      </c>
      <c r="E282" s="1775" t="s">
        <v>2403</v>
      </c>
      <c r="F282" s="1775" t="s">
        <v>2346</v>
      </c>
      <c r="G282" s="1775" t="s">
        <v>28</v>
      </c>
      <c r="H282" s="1775" t="s">
        <v>28</v>
      </c>
      <c r="I282" s="1775" t="s">
        <v>915</v>
      </c>
    </row>
    <row r="283" spans="1:9" ht="11.25" customHeight="1">
      <c r="A283" s="1775" t="s">
        <v>2258</v>
      </c>
      <c r="B283" s="1775" t="s">
        <v>16</v>
      </c>
      <c r="C283" s="1775" t="s">
        <v>2401</v>
      </c>
      <c r="D283" s="1775" t="s">
        <v>2402</v>
      </c>
      <c r="E283" s="1775" t="s">
        <v>2403</v>
      </c>
      <c r="F283" s="1775" t="s">
        <v>2404</v>
      </c>
      <c r="G283" s="1775" t="s">
        <v>28</v>
      </c>
      <c r="H283" s="1775" t="s">
        <v>28</v>
      </c>
      <c r="I283" s="1775" t="s">
        <v>915</v>
      </c>
    </row>
    <row r="284" spans="1:9" ht="11.25" customHeight="1">
      <c r="A284" s="1775" t="s">
        <v>2258</v>
      </c>
      <c r="B284" s="1775" t="s">
        <v>16</v>
      </c>
      <c r="C284" s="1775" t="s">
        <v>2726</v>
      </c>
      <c r="D284" s="1775" t="s">
        <v>2727</v>
      </c>
      <c r="E284" s="1775" t="s">
        <v>2728</v>
      </c>
      <c r="F284" s="1775" t="s">
        <v>2443</v>
      </c>
      <c r="G284" s="1775" t="s">
        <v>28</v>
      </c>
      <c r="H284" s="1775" t="s">
        <v>28</v>
      </c>
      <c r="I284" s="1775" t="s">
        <v>915</v>
      </c>
    </row>
    <row r="285" spans="1:9" ht="11.25" customHeight="1">
      <c r="A285" s="1775" t="s">
        <v>2258</v>
      </c>
      <c r="B285" s="1775" t="s">
        <v>16</v>
      </c>
      <c r="C285" s="1775" t="s">
        <v>2729</v>
      </c>
      <c r="D285" s="1775" t="s">
        <v>2730</v>
      </c>
      <c r="E285" s="1775" t="s">
        <v>2731</v>
      </c>
      <c r="F285" s="1775" t="s">
        <v>2300</v>
      </c>
      <c r="G285" s="1775" t="s">
        <v>28</v>
      </c>
      <c r="H285" s="1775" t="s">
        <v>28</v>
      </c>
      <c r="I285" s="1775" t="s">
        <v>915</v>
      </c>
    </row>
    <row r="286" spans="1:9" ht="11.25" customHeight="1">
      <c r="A286" s="1775" t="s">
        <v>2258</v>
      </c>
      <c r="B286" s="1775" t="s">
        <v>16</v>
      </c>
      <c r="C286" s="1775" t="s">
        <v>2732</v>
      </c>
      <c r="D286" s="1775" t="s">
        <v>2733</v>
      </c>
      <c r="E286" s="1775" t="s">
        <v>2734</v>
      </c>
      <c r="F286" s="1775" t="s">
        <v>52</v>
      </c>
      <c r="G286" s="1775" t="s">
        <v>28</v>
      </c>
      <c r="H286" s="1775" t="s">
        <v>28</v>
      </c>
      <c r="I286" s="1775" t="s">
        <v>915</v>
      </c>
    </row>
    <row r="287" spans="1:9" ht="11.25" customHeight="1">
      <c r="A287" s="1775" t="s">
        <v>2258</v>
      </c>
      <c r="B287" s="1775" t="s">
        <v>16</v>
      </c>
      <c r="C287" s="1775" t="s">
        <v>2735</v>
      </c>
      <c r="D287" s="1775" t="s">
        <v>2736</v>
      </c>
      <c r="E287" s="1775" t="s">
        <v>2737</v>
      </c>
      <c r="F287" s="1775" t="s">
        <v>2425</v>
      </c>
      <c r="G287" s="1775" t="s">
        <v>28</v>
      </c>
      <c r="H287" s="1775" t="s">
        <v>28</v>
      </c>
      <c r="I287" s="1775" t="s">
        <v>915</v>
      </c>
    </row>
    <row r="288" spans="1:9" ht="11.25" customHeight="1">
      <c r="A288" s="1775" t="s">
        <v>2258</v>
      </c>
      <c r="B288" s="1775" t="s">
        <v>16</v>
      </c>
      <c r="C288" s="1775" t="s">
        <v>2408</v>
      </c>
      <c r="D288" s="1775" t="s">
        <v>2409</v>
      </c>
      <c r="E288" s="1775" t="s">
        <v>2410</v>
      </c>
      <c r="F288" s="1775" t="s">
        <v>2411</v>
      </c>
      <c r="G288" s="1775" t="s">
        <v>28</v>
      </c>
      <c r="H288" s="1775" t="s">
        <v>28</v>
      </c>
      <c r="I288" s="1775" t="s">
        <v>915</v>
      </c>
    </row>
    <row r="289" spans="1:9" ht="11.25" customHeight="1">
      <c r="A289" s="1775" t="s">
        <v>2258</v>
      </c>
      <c r="B289" s="1775" t="s">
        <v>16</v>
      </c>
      <c r="C289" s="1775" t="s">
        <v>2738</v>
      </c>
      <c r="D289" s="1775" t="s">
        <v>2739</v>
      </c>
      <c r="E289" s="1775" t="s">
        <v>2740</v>
      </c>
      <c r="F289" s="1775" t="s">
        <v>2411</v>
      </c>
      <c r="G289" s="1775" t="s">
        <v>28</v>
      </c>
      <c r="H289" s="1775" t="s">
        <v>28</v>
      </c>
      <c r="I289" s="1775" t="s">
        <v>915</v>
      </c>
    </row>
    <row r="290" spans="1:9" ht="11.25" customHeight="1">
      <c r="A290" s="1775" t="s">
        <v>2258</v>
      </c>
      <c r="B290" s="1775" t="s">
        <v>16</v>
      </c>
      <c r="C290" s="1775" t="s">
        <v>2741</v>
      </c>
      <c r="D290" s="1775" t="s">
        <v>2742</v>
      </c>
      <c r="E290" s="1775" t="s">
        <v>2743</v>
      </c>
      <c r="F290" s="1775" t="s">
        <v>2504</v>
      </c>
      <c r="G290" s="1775" t="s">
        <v>28</v>
      </c>
      <c r="H290" s="1775" t="s">
        <v>28</v>
      </c>
      <c r="I290" s="1775" t="s">
        <v>915</v>
      </c>
    </row>
    <row r="291" spans="1:9" ht="11.25" customHeight="1">
      <c r="A291" s="1775" t="s">
        <v>2258</v>
      </c>
      <c r="B291" s="1775" t="s">
        <v>16</v>
      </c>
      <c r="C291" s="1775" t="s">
        <v>2751</v>
      </c>
      <c r="D291" s="1775" t="s">
        <v>2752</v>
      </c>
      <c r="E291" s="1775" t="s">
        <v>2753</v>
      </c>
      <c r="F291" s="1775" t="s">
        <v>2754</v>
      </c>
      <c r="G291" s="1775" t="s">
        <v>28</v>
      </c>
      <c r="H291" s="1775" t="s">
        <v>28</v>
      </c>
      <c r="I291" s="1775" t="s">
        <v>915</v>
      </c>
    </row>
    <row r="292" spans="1:9" ht="11.25" customHeight="1">
      <c r="A292" s="1775" t="s">
        <v>2258</v>
      </c>
      <c r="B292" s="1775" t="s">
        <v>16</v>
      </c>
      <c r="C292" s="1775" t="s">
        <v>2426</v>
      </c>
      <c r="D292" s="1775" t="s">
        <v>2427</v>
      </c>
      <c r="E292" s="1775" t="s">
        <v>2428</v>
      </c>
      <c r="F292" s="1775" t="s">
        <v>2346</v>
      </c>
      <c r="G292" s="1775" t="s">
        <v>28</v>
      </c>
      <c r="H292" s="1775" t="s">
        <v>28</v>
      </c>
      <c r="I292" s="1775" t="s">
        <v>915</v>
      </c>
    </row>
    <row r="293" spans="1:9" ht="11.25" customHeight="1">
      <c r="A293" s="1775" t="s">
        <v>2258</v>
      </c>
      <c r="B293" s="1775" t="s">
        <v>16</v>
      </c>
      <c r="C293" s="1775" t="s">
        <v>2429</v>
      </c>
      <c r="D293" s="1775" t="s">
        <v>2430</v>
      </c>
      <c r="E293" s="1775" t="s">
        <v>2431</v>
      </c>
      <c r="F293" s="1775" t="s">
        <v>2432</v>
      </c>
      <c r="G293" s="1775" t="s">
        <v>2433</v>
      </c>
      <c r="H293" s="1775" t="s">
        <v>28</v>
      </c>
      <c r="I293" s="1775" t="s">
        <v>915</v>
      </c>
    </row>
    <row r="294" spans="1:9" ht="11.25" customHeight="1">
      <c r="A294" s="1775" t="s">
        <v>2258</v>
      </c>
      <c r="B294" s="1775" t="s">
        <v>16</v>
      </c>
      <c r="C294" s="1775" t="s">
        <v>2434</v>
      </c>
      <c r="D294" s="1775" t="s">
        <v>2435</v>
      </c>
      <c r="E294" s="1775" t="s">
        <v>2436</v>
      </c>
      <c r="F294" s="1775" t="s">
        <v>2271</v>
      </c>
      <c r="G294" s="1775" t="s">
        <v>28</v>
      </c>
      <c r="H294" s="1775" t="s">
        <v>28</v>
      </c>
      <c r="I294" s="1775" t="s">
        <v>915</v>
      </c>
    </row>
    <row r="295" spans="1:9" ht="11.25" customHeight="1">
      <c r="A295" s="1775" t="s">
        <v>2258</v>
      </c>
      <c r="B295" s="1775" t="s">
        <v>16</v>
      </c>
      <c r="C295" s="1775" t="s">
        <v>2827</v>
      </c>
      <c r="D295" s="1775" t="s">
        <v>2828</v>
      </c>
      <c r="E295" s="1775" t="s">
        <v>2829</v>
      </c>
      <c r="F295" s="1775" t="s">
        <v>2271</v>
      </c>
      <c r="G295" s="1775" t="s">
        <v>28</v>
      </c>
      <c r="H295" s="1775" t="s">
        <v>28</v>
      </c>
      <c r="I295" s="1775" t="s">
        <v>915</v>
      </c>
    </row>
    <row r="296" spans="1:9" ht="11.25" customHeight="1">
      <c r="A296" s="1775" t="s">
        <v>2258</v>
      </c>
      <c r="B296" s="1775" t="s">
        <v>16</v>
      </c>
      <c r="C296" s="1775" t="s">
        <v>2830</v>
      </c>
      <c r="D296" s="1775" t="s">
        <v>2831</v>
      </c>
      <c r="E296" s="1775" t="s">
        <v>2832</v>
      </c>
      <c r="F296" s="1775" t="s">
        <v>2833</v>
      </c>
      <c r="G296" s="1775" t="s">
        <v>28</v>
      </c>
      <c r="H296" s="1775" t="s">
        <v>28</v>
      </c>
      <c r="I296" s="1775" t="s">
        <v>915</v>
      </c>
    </row>
    <row r="297" spans="1:9" ht="11.25" customHeight="1">
      <c r="A297" s="1775" t="s">
        <v>2258</v>
      </c>
      <c r="B297" s="1775" t="s">
        <v>16</v>
      </c>
      <c r="C297" s="1775" t="s">
        <v>2453</v>
      </c>
      <c r="D297" s="1775" t="s">
        <v>2454</v>
      </c>
      <c r="E297" s="1775" t="s">
        <v>2455</v>
      </c>
      <c r="F297" s="1775" t="s">
        <v>2266</v>
      </c>
      <c r="G297" s="1775" t="s">
        <v>28</v>
      </c>
      <c r="H297" s="1775" t="s">
        <v>28</v>
      </c>
      <c r="I297" s="1775" t="s">
        <v>915</v>
      </c>
    </row>
    <row r="298" spans="1:9" ht="11.25" customHeight="1">
      <c r="A298" s="1775" t="s">
        <v>2258</v>
      </c>
      <c r="B298" s="1775" t="s">
        <v>16</v>
      </c>
      <c r="C298" s="1775" t="s">
        <v>2456</v>
      </c>
      <c r="D298" s="1775" t="s">
        <v>2457</v>
      </c>
      <c r="E298" s="1775" t="s">
        <v>2458</v>
      </c>
      <c r="F298" s="1775" t="s">
        <v>2266</v>
      </c>
      <c r="G298" s="1775" t="s">
        <v>2459</v>
      </c>
      <c r="H298" s="1775" t="s">
        <v>28</v>
      </c>
      <c r="I298" s="1775" t="s">
        <v>915</v>
      </c>
    </row>
    <row r="299" spans="1:9" ht="11.25" customHeight="1">
      <c r="A299" s="1775" t="s">
        <v>2258</v>
      </c>
      <c r="B299" s="1775" t="s">
        <v>16</v>
      </c>
      <c r="C299" s="1775" t="s">
        <v>2460</v>
      </c>
      <c r="D299" s="1775" t="s">
        <v>2461</v>
      </c>
      <c r="E299" s="1775" t="s">
        <v>2462</v>
      </c>
      <c r="F299" s="1775" t="s">
        <v>2463</v>
      </c>
      <c r="G299" s="1775" t="s">
        <v>28</v>
      </c>
      <c r="H299" s="1775" t="s">
        <v>28</v>
      </c>
      <c r="I299" s="1775" t="s">
        <v>915</v>
      </c>
    </row>
    <row r="300" spans="1:9" ht="11.25" customHeight="1">
      <c r="A300" s="1775" t="s">
        <v>2258</v>
      </c>
      <c r="B300" s="1775" t="s">
        <v>16</v>
      </c>
      <c r="C300" s="1775" t="s">
        <v>2464</v>
      </c>
      <c r="D300" s="1775" t="s">
        <v>2465</v>
      </c>
      <c r="E300" s="1775" t="s">
        <v>2466</v>
      </c>
      <c r="F300" s="1775" t="s">
        <v>2329</v>
      </c>
      <c r="G300" s="1775" t="s">
        <v>28</v>
      </c>
      <c r="H300" s="1775" t="s">
        <v>28</v>
      </c>
      <c r="I300" s="1775" t="s">
        <v>915</v>
      </c>
    </row>
    <row r="301" spans="1:9" ht="11.25" customHeight="1">
      <c r="A301" s="1775" t="s">
        <v>2258</v>
      </c>
      <c r="B301" s="1775" t="s">
        <v>16</v>
      </c>
      <c r="C301" s="1775" t="s">
        <v>2470</v>
      </c>
      <c r="D301" s="1775" t="s">
        <v>2471</v>
      </c>
      <c r="E301" s="1775" t="s">
        <v>2472</v>
      </c>
      <c r="F301" s="1775" t="s">
        <v>2262</v>
      </c>
      <c r="G301" s="1775" t="s">
        <v>28</v>
      </c>
      <c r="H301" s="1775" t="s">
        <v>28</v>
      </c>
      <c r="I301" s="1775" t="s">
        <v>915</v>
      </c>
    </row>
    <row r="302" spans="1:9" ht="11.25" customHeight="1">
      <c r="A302" s="1775" t="s">
        <v>2258</v>
      </c>
      <c r="B302" s="1775" t="s">
        <v>16</v>
      </c>
      <c r="C302" s="1775" t="s">
        <v>2764</v>
      </c>
      <c r="D302" s="1775" t="s">
        <v>2765</v>
      </c>
      <c r="E302" s="1775" t="s">
        <v>2766</v>
      </c>
      <c r="F302" s="1775" t="s">
        <v>2550</v>
      </c>
      <c r="G302" s="1775" t="s">
        <v>28</v>
      </c>
      <c r="H302" s="1775" t="s">
        <v>28</v>
      </c>
      <c r="I302" s="1775" t="s">
        <v>915</v>
      </c>
    </row>
    <row r="303" spans="1:9" ht="11.25" customHeight="1">
      <c r="A303" s="1775" t="s">
        <v>2258</v>
      </c>
      <c r="B303" s="1775" t="s">
        <v>16</v>
      </c>
      <c r="C303" s="1775" t="s">
        <v>2767</v>
      </c>
      <c r="D303" s="1775" t="s">
        <v>2768</v>
      </c>
      <c r="E303" s="1775" t="s">
        <v>2769</v>
      </c>
      <c r="F303" s="1775" t="s">
        <v>2463</v>
      </c>
      <c r="G303" s="1775" t="s">
        <v>2770</v>
      </c>
      <c r="H303" s="1775" t="s">
        <v>28</v>
      </c>
      <c r="I303" s="1775" t="s">
        <v>915</v>
      </c>
    </row>
    <row r="304" spans="1:9" ht="11.25" customHeight="1">
      <c r="A304" s="1775" t="s">
        <v>2258</v>
      </c>
      <c r="B304" s="1775" t="s">
        <v>16</v>
      </c>
      <c r="C304" s="1775" t="s">
        <v>2473</v>
      </c>
      <c r="D304" s="1775" t="s">
        <v>2474</v>
      </c>
      <c r="E304" s="1775" t="s">
        <v>2475</v>
      </c>
      <c r="F304" s="1775" t="s">
        <v>2476</v>
      </c>
      <c r="G304" s="1775" t="s">
        <v>28</v>
      </c>
      <c r="H304" s="1775" t="s">
        <v>28</v>
      </c>
      <c r="I304" s="1775" t="s">
        <v>915</v>
      </c>
    </row>
    <row r="305" spans="1:9" ht="11.25" customHeight="1">
      <c r="A305" s="1775" t="s">
        <v>2258</v>
      </c>
      <c r="B305" s="1775" t="s">
        <v>16</v>
      </c>
      <c r="C305" s="1775" t="s">
        <v>2775</v>
      </c>
      <c r="D305" s="1775" t="s">
        <v>2776</v>
      </c>
      <c r="E305" s="1775" t="s">
        <v>2777</v>
      </c>
      <c r="F305" s="1775" t="s">
        <v>2480</v>
      </c>
      <c r="G305" s="1775" t="s">
        <v>28</v>
      </c>
      <c r="H305" s="1775" t="s">
        <v>28</v>
      </c>
      <c r="I305" s="1775" t="s">
        <v>915</v>
      </c>
    </row>
    <row r="306" spans="1:9" ht="11.25" customHeight="1">
      <c r="A306" s="1775" t="s">
        <v>2258</v>
      </c>
      <c r="B306" s="1775" t="s">
        <v>16</v>
      </c>
      <c r="C306" s="1775" t="s">
        <v>2778</v>
      </c>
      <c r="D306" s="1775" t="s">
        <v>2779</v>
      </c>
      <c r="E306" s="1775" t="s">
        <v>2780</v>
      </c>
      <c r="F306" s="1775" t="s">
        <v>2359</v>
      </c>
      <c r="G306" s="1775" t="s">
        <v>28</v>
      </c>
      <c r="H306" s="1775" t="s">
        <v>28</v>
      </c>
      <c r="I306" s="1775" t="s">
        <v>915</v>
      </c>
    </row>
    <row r="307" spans="1:9" ht="11.25" customHeight="1">
      <c r="A307" s="1775" t="s">
        <v>2258</v>
      </c>
      <c r="B307" s="1775" t="s">
        <v>16</v>
      </c>
      <c r="C307" s="1775" t="s">
        <v>2491</v>
      </c>
      <c r="D307" s="1775" t="s">
        <v>2492</v>
      </c>
      <c r="E307" s="1775" t="s">
        <v>2493</v>
      </c>
      <c r="F307" s="1775" t="s">
        <v>2463</v>
      </c>
      <c r="G307" s="1775" t="s">
        <v>28</v>
      </c>
      <c r="H307" s="1775" t="s">
        <v>28</v>
      </c>
      <c r="I307" s="1775" t="s">
        <v>915</v>
      </c>
    </row>
    <row r="308" spans="1:9" ht="11.25" customHeight="1">
      <c r="A308" s="1775" t="s">
        <v>2258</v>
      </c>
      <c r="B308" s="1775" t="s">
        <v>16</v>
      </c>
      <c r="C308" s="1775" t="s">
        <v>2497</v>
      </c>
      <c r="D308" s="1775" t="s">
        <v>2498</v>
      </c>
      <c r="E308" s="1775" t="s">
        <v>2499</v>
      </c>
      <c r="F308" s="1775" t="s">
        <v>2500</v>
      </c>
      <c r="G308" s="1775" t="s">
        <v>28</v>
      </c>
      <c r="H308" s="1775" t="s">
        <v>28</v>
      </c>
      <c r="I308" s="1775" t="s">
        <v>915</v>
      </c>
    </row>
    <row r="309" spans="1:9" ht="11.25" customHeight="1">
      <c r="A309" s="1775" t="s">
        <v>2258</v>
      </c>
      <c r="B309" s="1775" t="s">
        <v>16</v>
      </c>
      <c r="C309" s="1775" t="s">
        <v>2781</v>
      </c>
      <c r="D309" s="1775" t="s">
        <v>2782</v>
      </c>
      <c r="E309" s="1775" t="s">
        <v>2783</v>
      </c>
      <c r="F309" s="1775" t="s">
        <v>2500</v>
      </c>
      <c r="G309" s="1775" t="s">
        <v>28</v>
      </c>
      <c r="H309" s="1775" t="s">
        <v>28</v>
      </c>
      <c r="I309" s="1775" t="s">
        <v>915</v>
      </c>
    </row>
    <row r="310" spans="1:9" ht="11.25" customHeight="1">
      <c r="A310" s="1775" t="s">
        <v>2258</v>
      </c>
      <c r="B310" s="1775" t="s">
        <v>16</v>
      </c>
      <c r="C310" s="1775" t="s">
        <v>2505</v>
      </c>
      <c r="D310" s="1775" t="s">
        <v>2506</v>
      </c>
      <c r="E310" s="1775" t="s">
        <v>2507</v>
      </c>
      <c r="F310" s="1775" t="s">
        <v>2508</v>
      </c>
      <c r="G310" s="1775" t="s">
        <v>2509</v>
      </c>
      <c r="H310" s="1775" t="s">
        <v>28</v>
      </c>
      <c r="I310" s="1775" t="s">
        <v>915</v>
      </c>
    </row>
    <row r="311" spans="1:9" ht="11.25" customHeight="1">
      <c r="A311" s="1775" t="s">
        <v>2258</v>
      </c>
      <c r="B311" s="1775" t="s">
        <v>16</v>
      </c>
      <c r="C311" s="1775" t="s">
        <v>2513</v>
      </c>
      <c r="D311" s="1775" t="s">
        <v>2514</v>
      </c>
      <c r="E311" s="1775" t="s">
        <v>2290</v>
      </c>
      <c r="F311" s="1775" t="s">
        <v>2346</v>
      </c>
      <c r="G311" s="1775" t="s">
        <v>28</v>
      </c>
      <c r="H311" s="1775" t="s">
        <v>28</v>
      </c>
      <c r="I311" s="1775" t="s">
        <v>915</v>
      </c>
    </row>
    <row r="312" spans="1:9" ht="11.25" customHeight="1">
      <c r="A312" s="1775" t="s">
        <v>2258</v>
      </c>
      <c r="B312" s="1775" t="s">
        <v>16</v>
      </c>
      <c r="C312" s="1775" t="s">
        <v>2518</v>
      </c>
      <c r="D312" s="1775" t="s">
        <v>2519</v>
      </c>
      <c r="E312" s="1775" t="s">
        <v>2520</v>
      </c>
      <c r="F312" s="1775" t="s">
        <v>2447</v>
      </c>
      <c r="G312" s="1775" t="s">
        <v>28</v>
      </c>
      <c r="H312" s="1775" t="s">
        <v>28</v>
      </c>
      <c r="I312" s="1775" t="s">
        <v>915</v>
      </c>
    </row>
    <row r="313" spans="1:9" ht="11.25" customHeight="1">
      <c r="A313" s="1775" t="s">
        <v>2258</v>
      </c>
      <c r="B313" s="1775" t="s">
        <v>16</v>
      </c>
      <c r="C313" s="1775" t="s">
        <v>2834</v>
      </c>
      <c r="D313" s="1775" t="s">
        <v>2835</v>
      </c>
      <c r="E313" s="1775" t="s">
        <v>2836</v>
      </c>
      <c r="F313" s="1775" t="s">
        <v>2837</v>
      </c>
      <c r="G313" s="1775" t="s">
        <v>28</v>
      </c>
      <c r="H313" s="1775" t="s">
        <v>28</v>
      </c>
      <c r="I313" s="1775" t="s">
        <v>915</v>
      </c>
    </row>
    <row r="314" spans="1:9" ht="11.25" customHeight="1">
      <c r="A314" s="1775" t="s">
        <v>2258</v>
      </c>
      <c r="B314" s="1775" t="s">
        <v>16</v>
      </c>
      <c r="C314" s="1775" t="s">
        <v>2838</v>
      </c>
      <c r="D314" s="1775" t="s">
        <v>2839</v>
      </c>
      <c r="E314" s="1775" t="s">
        <v>2840</v>
      </c>
      <c r="F314" s="1775" t="s">
        <v>2300</v>
      </c>
      <c r="G314" s="1775" t="s">
        <v>28</v>
      </c>
      <c r="H314" s="1775" t="s">
        <v>28</v>
      </c>
      <c r="I314" s="1775" t="s">
        <v>915</v>
      </c>
    </row>
    <row r="315" spans="1:9" ht="11.25" customHeight="1">
      <c r="A315" s="1775" t="s">
        <v>2258</v>
      </c>
      <c r="B315" s="1775" t="s">
        <v>16</v>
      </c>
      <c r="C315" s="1775" t="s">
        <v>2526</v>
      </c>
      <c r="D315" s="1775" t="s">
        <v>2527</v>
      </c>
      <c r="E315" s="1775" t="s">
        <v>2528</v>
      </c>
      <c r="F315" s="1775" t="s">
        <v>2529</v>
      </c>
      <c r="G315" s="1775" t="s">
        <v>28</v>
      </c>
      <c r="H315" s="1775" t="s">
        <v>28</v>
      </c>
      <c r="I315" s="1775" t="s">
        <v>915</v>
      </c>
    </row>
    <row r="316" spans="1:9" ht="11.25" customHeight="1">
      <c r="A316" s="1775" t="s">
        <v>2258</v>
      </c>
      <c r="B316" s="1775" t="s">
        <v>16</v>
      </c>
      <c r="C316" s="1775" t="s">
        <v>2841</v>
      </c>
      <c r="D316" s="1775" t="s">
        <v>2842</v>
      </c>
      <c r="E316" s="1775" t="s">
        <v>2843</v>
      </c>
      <c r="F316" s="1775" t="s">
        <v>2271</v>
      </c>
      <c r="G316" s="1775" t="s">
        <v>28</v>
      </c>
      <c r="H316" s="1775" t="s">
        <v>28</v>
      </c>
      <c r="I316" s="1775" t="s">
        <v>1629</v>
      </c>
    </row>
    <row r="317" spans="1:9" ht="11.25" customHeight="1">
      <c r="A317" s="1775" t="s">
        <v>2258</v>
      </c>
      <c r="B317" s="1775" t="s">
        <v>16</v>
      </c>
      <c r="C317" s="1775" t="s">
        <v>2844</v>
      </c>
      <c r="D317" s="1775" t="s">
        <v>2845</v>
      </c>
      <c r="E317" s="1775" t="s">
        <v>2846</v>
      </c>
      <c r="F317" s="1775" t="s">
        <v>584</v>
      </c>
      <c r="G317" s="1775" t="s">
        <v>28</v>
      </c>
      <c r="H317" s="1775" t="s">
        <v>28</v>
      </c>
      <c r="I317" s="1775" t="s">
        <v>1629</v>
      </c>
    </row>
    <row r="318" spans="1:9" ht="11.25" customHeight="1">
      <c r="A318" s="1775" t="s">
        <v>2258</v>
      </c>
      <c r="B318" s="1775" t="s">
        <v>16</v>
      </c>
      <c r="C318" s="1775" t="s">
        <v>2847</v>
      </c>
      <c r="D318" s="1775" t="s">
        <v>2848</v>
      </c>
      <c r="E318" s="1775" t="s">
        <v>2849</v>
      </c>
      <c r="F318" s="1775" t="s">
        <v>584</v>
      </c>
      <c r="G318" s="1775" t="s">
        <v>28</v>
      </c>
      <c r="H318" s="1775" t="s">
        <v>28</v>
      </c>
      <c r="I318" s="1775" t="s">
        <v>1629</v>
      </c>
    </row>
    <row r="319" spans="1:9" ht="11.25" customHeight="1">
      <c r="A319" s="1775" t="s">
        <v>2258</v>
      </c>
      <c r="B319" s="1775" t="s">
        <v>16</v>
      </c>
      <c r="C319" s="1775" t="s">
        <v>28</v>
      </c>
      <c r="D319" s="1775" t="s">
        <v>2324</v>
      </c>
      <c r="E319" s="1775" t="s">
        <v>2325</v>
      </c>
      <c r="F319" s="1775" t="s">
        <v>2271</v>
      </c>
      <c r="G319" s="1775" t="s">
        <v>28</v>
      </c>
      <c r="H319" s="1775" t="s">
        <v>28</v>
      </c>
      <c r="I319" s="1775" t="s">
        <v>1629</v>
      </c>
    </row>
    <row r="320" spans="1:9" ht="11.25" customHeight="1">
      <c r="A320" s="1775" t="s">
        <v>2258</v>
      </c>
      <c r="B320" s="1775" t="s">
        <v>16</v>
      </c>
      <c r="C320" s="1775" t="s">
        <v>2661</v>
      </c>
      <c r="D320" s="1775" t="s">
        <v>2662</v>
      </c>
      <c r="E320" s="1775" t="s">
        <v>2663</v>
      </c>
      <c r="F320" s="1775" t="s">
        <v>2504</v>
      </c>
      <c r="G320" s="1775" t="s">
        <v>2664</v>
      </c>
      <c r="H320" s="1775" t="s">
        <v>28</v>
      </c>
      <c r="I320" s="1775" t="s">
        <v>1629</v>
      </c>
    </row>
    <row r="321" spans="1:9" ht="11.25" customHeight="1">
      <c r="A321" s="1775" t="s">
        <v>2258</v>
      </c>
      <c r="B321" s="1775" t="s">
        <v>16</v>
      </c>
      <c r="C321" s="1775" t="s">
        <v>2850</v>
      </c>
      <c r="D321" s="1775" t="s">
        <v>2851</v>
      </c>
      <c r="E321" s="1775" t="s">
        <v>2852</v>
      </c>
      <c r="F321" s="1775" t="s">
        <v>2380</v>
      </c>
      <c r="G321" s="1775" t="s">
        <v>28</v>
      </c>
      <c r="H321" s="1775" t="s">
        <v>28</v>
      </c>
      <c r="I321" s="1775" t="s">
        <v>1629</v>
      </c>
    </row>
    <row r="322" spans="1:9" ht="11.25" customHeight="1">
      <c r="A322" s="1775" t="s">
        <v>2258</v>
      </c>
      <c r="B322" s="1775" t="s">
        <v>16</v>
      </c>
      <c r="C322" s="1775" t="s">
        <v>2853</v>
      </c>
      <c r="D322" s="1775" t="s">
        <v>2854</v>
      </c>
      <c r="E322" s="1775" t="s">
        <v>2855</v>
      </c>
      <c r="F322" s="1775" t="s">
        <v>2376</v>
      </c>
      <c r="G322" s="1775" t="s">
        <v>28</v>
      </c>
      <c r="H322" s="1775" t="s">
        <v>28</v>
      </c>
      <c r="I322" s="1775" t="s">
        <v>1629</v>
      </c>
    </row>
    <row r="323" spans="1:9" ht="11.25" customHeight="1">
      <c r="A323" s="1775" t="s">
        <v>2258</v>
      </c>
      <c r="B323" s="1775" t="s">
        <v>16</v>
      </c>
      <c r="C323" s="1775" t="s">
        <v>2856</v>
      </c>
      <c r="D323" s="1775" t="s">
        <v>2857</v>
      </c>
      <c r="E323" s="1775" t="s">
        <v>2858</v>
      </c>
      <c r="F323" s="1775" t="s">
        <v>2364</v>
      </c>
      <c r="G323" s="1775" t="s">
        <v>28</v>
      </c>
      <c r="H323" s="1775" t="s">
        <v>28</v>
      </c>
      <c r="I323" s="1775" t="s">
        <v>1629</v>
      </c>
    </row>
    <row r="324" spans="1:9" ht="11.25" customHeight="1">
      <c r="A324" s="1775" t="s">
        <v>2258</v>
      </c>
      <c r="B324" s="1775" t="s">
        <v>16</v>
      </c>
      <c r="C324" s="1775" t="s">
        <v>2732</v>
      </c>
      <c r="D324" s="1775" t="s">
        <v>2733</v>
      </c>
      <c r="E324" s="1775" t="s">
        <v>2734</v>
      </c>
      <c r="F324" s="1775" t="s">
        <v>52</v>
      </c>
      <c r="G324" s="1775" t="s">
        <v>28</v>
      </c>
      <c r="H324" s="1775" t="s">
        <v>28</v>
      </c>
      <c r="I324" s="1775" t="s">
        <v>1629</v>
      </c>
    </row>
    <row r="325" spans="1:9" ht="11.25" customHeight="1">
      <c r="A325" s="1775" t="s">
        <v>2258</v>
      </c>
      <c r="B325" s="1775" t="s">
        <v>16</v>
      </c>
      <c r="C325" s="1775" t="s">
        <v>2735</v>
      </c>
      <c r="D325" s="1775" t="s">
        <v>2736</v>
      </c>
      <c r="E325" s="1775" t="s">
        <v>2737</v>
      </c>
      <c r="F325" s="1775" t="s">
        <v>2425</v>
      </c>
      <c r="G325" s="1775" t="s">
        <v>28</v>
      </c>
      <c r="H325" s="1775" t="s">
        <v>28</v>
      </c>
      <c r="I325" s="1775" t="s">
        <v>1629</v>
      </c>
    </row>
    <row r="326" spans="1:9" ht="11.25" customHeight="1">
      <c r="A326" s="1775" t="s">
        <v>2258</v>
      </c>
      <c r="B326" s="1775" t="s">
        <v>16</v>
      </c>
      <c r="C326" s="1775" t="s">
        <v>2748</v>
      </c>
      <c r="D326" s="1775" t="s">
        <v>2749</v>
      </c>
      <c r="E326" s="1775" t="s">
        <v>2750</v>
      </c>
      <c r="F326" s="1775" t="s">
        <v>2463</v>
      </c>
      <c r="G326" s="1775" t="s">
        <v>28</v>
      </c>
      <c r="H326" s="1775" t="s">
        <v>28</v>
      </c>
      <c r="I326" s="1775" t="s">
        <v>1629</v>
      </c>
    </row>
    <row r="327" spans="1:9" ht="11.25" customHeight="1">
      <c r="A327" s="1775" t="s">
        <v>2258</v>
      </c>
      <c r="B327" s="1775" t="s">
        <v>16</v>
      </c>
      <c r="C327" s="1775" t="s">
        <v>2859</v>
      </c>
      <c r="D327" s="1775" t="s">
        <v>2860</v>
      </c>
      <c r="E327" s="1775" t="s">
        <v>2861</v>
      </c>
      <c r="F327" s="1775" t="s">
        <v>2271</v>
      </c>
      <c r="G327" s="1775" t="s">
        <v>28</v>
      </c>
      <c r="H327" s="1775" t="s">
        <v>28</v>
      </c>
      <c r="I327" s="1775" t="s">
        <v>1629</v>
      </c>
    </row>
    <row r="328" spans="1:9" ht="11.25" customHeight="1">
      <c r="A328" s="1775" t="s">
        <v>2258</v>
      </c>
      <c r="B328" s="1775" t="s">
        <v>16</v>
      </c>
      <c r="C328" s="1775" t="s">
        <v>2862</v>
      </c>
      <c r="D328" s="1775" t="s">
        <v>2863</v>
      </c>
      <c r="E328" s="1775" t="s">
        <v>2864</v>
      </c>
      <c r="F328" s="1775" t="s">
        <v>2865</v>
      </c>
      <c r="G328" s="1775" t="s">
        <v>2866</v>
      </c>
      <c r="H328" s="1775" t="s">
        <v>28</v>
      </c>
      <c r="I328" s="1775" t="s">
        <v>1629</v>
      </c>
    </row>
    <row r="329" spans="1:9" ht="11.25" customHeight="1">
      <c r="A329" s="1775" t="s">
        <v>2258</v>
      </c>
      <c r="B329" s="1775" t="s">
        <v>16</v>
      </c>
      <c r="C329" s="1775" t="s">
        <v>2464</v>
      </c>
      <c r="D329" s="1775" t="s">
        <v>2465</v>
      </c>
      <c r="E329" s="1775" t="s">
        <v>2466</v>
      </c>
      <c r="F329" s="1775" t="s">
        <v>2329</v>
      </c>
      <c r="G329" s="1775" t="s">
        <v>28</v>
      </c>
      <c r="H329" s="1775" t="s">
        <v>28</v>
      </c>
      <c r="I329" s="1775" t="s">
        <v>1629</v>
      </c>
    </row>
    <row r="330" spans="1:9" ht="11.25" customHeight="1">
      <c r="A330" s="1775" t="s">
        <v>2258</v>
      </c>
      <c r="B330" s="1775" t="s">
        <v>16</v>
      </c>
      <c r="C330" s="1775" t="s">
        <v>2867</v>
      </c>
      <c r="D330" s="1775" t="s">
        <v>2868</v>
      </c>
      <c r="E330" s="1775" t="s">
        <v>2869</v>
      </c>
      <c r="F330" s="1775" t="s">
        <v>2346</v>
      </c>
      <c r="G330" s="1775" t="s">
        <v>28</v>
      </c>
      <c r="H330" s="1775" t="s">
        <v>28</v>
      </c>
      <c r="I330" s="1775" t="s">
        <v>1629</v>
      </c>
    </row>
    <row r="331" spans="1:9" ht="11.25" customHeight="1">
      <c r="A331" s="1775" t="s">
        <v>2258</v>
      </c>
      <c r="B331" s="1775" t="s">
        <v>16</v>
      </c>
      <c r="C331" s="1775" t="s">
        <v>2870</v>
      </c>
      <c r="D331" s="1775" t="s">
        <v>2871</v>
      </c>
      <c r="E331" s="1775" t="s">
        <v>2872</v>
      </c>
      <c r="F331" s="1775" t="s">
        <v>2443</v>
      </c>
      <c r="G331" s="1775" t="s">
        <v>28</v>
      </c>
      <c r="H331" s="1775" t="s">
        <v>28</v>
      </c>
      <c r="I331" s="1775" t="s">
        <v>1629</v>
      </c>
    </row>
    <row r="332" spans="1:9" ht="11.25" customHeight="1">
      <c r="A332" s="1775" t="s">
        <v>2258</v>
      </c>
      <c r="B332" s="1775" t="s">
        <v>16</v>
      </c>
      <c r="C332" s="1775" t="s">
        <v>2873</v>
      </c>
      <c r="D332" s="1775" t="s">
        <v>2874</v>
      </c>
      <c r="E332" s="1775" t="s">
        <v>2875</v>
      </c>
      <c r="F332" s="1775" t="s">
        <v>52</v>
      </c>
      <c r="G332" s="1775" t="s">
        <v>28</v>
      </c>
      <c r="H332" s="1775" t="s">
        <v>28</v>
      </c>
      <c r="I332" s="1775" t="s">
        <v>1629</v>
      </c>
    </row>
    <row r="333" spans="1:9" ht="11.25" customHeight="1">
      <c r="A333" s="1775" t="s">
        <v>2258</v>
      </c>
      <c r="B333" s="1775" t="s">
        <v>16</v>
      </c>
      <c r="C333" s="1775" t="s">
        <v>2470</v>
      </c>
      <c r="D333" s="1775" t="s">
        <v>2471</v>
      </c>
      <c r="E333" s="1775" t="s">
        <v>2472</v>
      </c>
      <c r="F333" s="1775" t="s">
        <v>2262</v>
      </c>
      <c r="G333" s="1775" t="s">
        <v>28</v>
      </c>
      <c r="H333" s="1775" t="s">
        <v>28</v>
      </c>
      <c r="I333" s="1775" t="s">
        <v>1629</v>
      </c>
    </row>
    <row r="334" spans="1:9" ht="11.25" customHeight="1">
      <c r="A334" s="1775" t="s">
        <v>2258</v>
      </c>
      <c r="B334" s="1775" t="s">
        <v>16</v>
      </c>
      <c r="C334" s="1775" t="s">
        <v>2771</v>
      </c>
      <c r="D334" s="1775" t="s">
        <v>2772</v>
      </c>
      <c r="E334" s="1775" t="s">
        <v>2773</v>
      </c>
      <c r="F334" s="1775" t="s">
        <v>2774</v>
      </c>
      <c r="G334" s="1775" t="s">
        <v>28</v>
      </c>
      <c r="H334" s="1775" t="s">
        <v>28</v>
      </c>
      <c r="I334" s="1775" t="s">
        <v>1629</v>
      </c>
    </row>
    <row r="335" spans="1:9" ht="11.25" customHeight="1">
      <c r="A335" s="1775" t="s">
        <v>2258</v>
      </c>
      <c r="B335" s="1775" t="s">
        <v>16</v>
      </c>
      <c r="C335" s="1775" t="s">
        <v>2876</v>
      </c>
      <c r="D335" s="1775" t="s">
        <v>2877</v>
      </c>
      <c r="E335" s="1775" t="s">
        <v>2878</v>
      </c>
      <c r="F335" s="1775" t="s">
        <v>2271</v>
      </c>
      <c r="G335" s="1775" t="s">
        <v>2879</v>
      </c>
      <c r="H335" s="1775" t="s">
        <v>28</v>
      </c>
      <c r="I335" s="1775" t="s">
        <v>1629</v>
      </c>
    </row>
    <row r="336" spans="1:9" ht="11.25" customHeight="1">
      <c r="A336" s="1775" t="s">
        <v>2258</v>
      </c>
      <c r="B336" s="1775" t="s">
        <v>16</v>
      </c>
      <c r="C336" s="1775" t="s">
        <v>2778</v>
      </c>
      <c r="D336" s="1775" t="s">
        <v>2779</v>
      </c>
      <c r="E336" s="1775" t="s">
        <v>2780</v>
      </c>
      <c r="F336" s="1775" t="s">
        <v>2359</v>
      </c>
      <c r="G336" s="1775" t="s">
        <v>28</v>
      </c>
      <c r="H336" s="1775" t="s">
        <v>28</v>
      </c>
      <c r="I336" s="1775" t="s">
        <v>1629</v>
      </c>
    </row>
    <row r="337" spans="1:9" ht="11.25" customHeight="1">
      <c r="A337" s="1775" t="s">
        <v>2258</v>
      </c>
      <c r="B337" s="1775" t="s">
        <v>16</v>
      </c>
      <c r="C337" s="1775" t="s">
        <v>2880</v>
      </c>
      <c r="D337" s="1775" t="s">
        <v>2881</v>
      </c>
      <c r="E337" s="1775" t="s">
        <v>2882</v>
      </c>
      <c r="F337" s="1775" t="s">
        <v>2380</v>
      </c>
      <c r="G337" s="1775" t="s">
        <v>28</v>
      </c>
      <c r="H337" s="1775" t="s">
        <v>28</v>
      </c>
      <c r="I337" s="1775" t="s">
        <v>1629</v>
      </c>
    </row>
    <row r="338" spans="1:9" ht="11.25" customHeight="1">
      <c r="A338" s="1775" t="s">
        <v>2258</v>
      </c>
      <c r="B338" s="1775" t="s">
        <v>16</v>
      </c>
      <c r="C338" s="1775" t="s">
        <v>2883</v>
      </c>
      <c r="D338" s="1775" t="s">
        <v>2884</v>
      </c>
      <c r="E338" s="1775" t="s">
        <v>2885</v>
      </c>
      <c r="F338" s="1775" t="s">
        <v>2886</v>
      </c>
      <c r="G338" s="1775" t="s">
        <v>28</v>
      </c>
      <c r="H338" s="1775" t="s">
        <v>28</v>
      </c>
      <c r="I338" s="1775" t="s">
        <v>1629</v>
      </c>
    </row>
    <row r="339" spans="1:9" ht="11.25" customHeight="1">
      <c r="A339" s="1775" t="s">
        <v>2258</v>
      </c>
      <c r="B339" s="1775" t="s">
        <v>16</v>
      </c>
      <c r="C339" s="1775" t="s">
        <v>2887</v>
      </c>
      <c r="D339" s="1775" t="s">
        <v>2888</v>
      </c>
      <c r="E339" s="1775" t="s">
        <v>2889</v>
      </c>
      <c r="F339" s="1775" t="s">
        <v>52</v>
      </c>
      <c r="G339" s="1775" t="s">
        <v>28</v>
      </c>
      <c r="H339" s="1775" t="s">
        <v>28</v>
      </c>
      <c r="I339" s="1775" t="s">
        <v>1629</v>
      </c>
    </row>
    <row r="340" spans="1:9" ht="11.25" customHeight="1">
      <c r="A340" s="1775" t="s">
        <v>2258</v>
      </c>
      <c r="B340" s="1775" t="s">
        <v>16</v>
      </c>
      <c r="C340" s="1775" t="s">
        <v>2890</v>
      </c>
      <c r="D340" s="1775" t="s">
        <v>2891</v>
      </c>
      <c r="E340" s="1775" t="s">
        <v>2892</v>
      </c>
      <c r="F340" s="1775" t="s">
        <v>52</v>
      </c>
      <c r="G340" s="1775" t="s">
        <v>28</v>
      </c>
      <c r="H340" s="1775" t="s">
        <v>28</v>
      </c>
      <c r="I340" s="1775" t="s">
        <v>1629</v>
      </c>
    </row>
    <row r="341" spans="1:9" ht="11.25" customHeight="1">
      <c r="A341" s="1775" t="s">
        <v>2258</v>
      </c>
      <c r="B341" s="1775" t="s">
        <v>16</v>
      </c>
      <c r="C341" s="1775" t="s">
        <v>2893</v>
      </c>
      <c r="D341" s="1775" t="s">
        <v>2894</v>
      </c>
      <c r="E341" s="1775" t="s">
        <v>2895</v>
      </c>
      <c r="F341" s="1775" t="s">
        <v>2271</v>
      </c>
      <c r="G341" s="1775" t="s">
        <v>28</v>
      </c>
      <c r="H341" s="1775" t="s">
        <v>28</v>
      </c>
      <c r="I341" s="1775" t="s">
        <v>1629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2797E-FFCF-CCEA-C4BB-6A73AB649E3B}">
  <sheetPr>
    <tabColor rgb="FFFFCC99"/>
  </sheetPr>
  <dimension ref="A1:G348"/>
  <sheetViews>
    <sheetView showGridLines="0" workbookViewId="0"/>
  </sheetViews>
  <sheetFormatPr defaultRowHeight="11.25" customHeight="1"/>
  <cols>
    <col min="1" max="1" width="9.140625" style="1775"/>
  </cols>
  <sheetData>
    <row r="1" spans="1:7" ht="11.25" customHeight="1">
      <c r="A1" s="310" t="s">
        <v>2896</v>
      </c>
      <c r="B1" s="4" t="s">
        <v>2897</v>
      </c>
      <c r="C1" s="4" t="s">
        <v>2898</v>
      </c>
      <c r="D1" s="4" t="s">
        <v>2899</v>
      </c>
      <c r="E1" s="3" t="s">
        <v>2900</v>
      </c>
      <c r="F1" s="3" t="s">
        <v>2901</v>
      </c>
      <c r="G1" s="3" t="s">
        <v>2902</v>
      </c>
    </row>
    <row r="2" spans="1:7" ht="11.25" customHeight="1">
      <c r="A2" s="310" t="s">
        <v>16</v>
      </c>
      <c r="B2" t="s">
        <v>2903</v>
      </c>
      <c r="C2" t="s">
        <v>2904</v>
      </c>
      <c r="D2" t="s">
        <v>2905</v>
      </c>
      <c r="E2" t="s">
        <v>2906</v>
      </c>
      <c r="F2" t="s">
        <v>2907</v>
      </c>
      <c r="G2" t="s">
        <v>110</v>
      </c>
    </row>
    <row r="3" spans="1:7" ht="11.25" customHeight="1">
      <c r="A3" s="310" t="s">
        <v>16</v>
      </c>
      <c r="B3" t="s">
        <v>2903</v>
      </c>
      <c r="C3" t="s">
        <v>2904</v>
      </c>
      <c r="D3" t="s">
        <v>2903</v>
      </c>
      <c r="E3" t="s">
        <v>2904</v>
      </c>
      <c r="F3" t="s">
        <v>2908</v>
      </c>
      <c r="G3" t="s">
        <v>111</v>
      </c>
    </row>
    <row r="4" spans="1:7" ht="11.25" customHeight="1">
      <c r="A4" s="310" t="s">
        <v>16</v>
      </c>
      <c r="B4" t="s">
        <v>2903</v>
      </c>
      <c r="C4" t="s">
        <v>2904</v>
      </c>
      <c r="D4" t="s">
        <v>2909</v>
      </c>
      <c r="E4" t="s">
        <v>2910</v>
      </c>
      <c r="F4" t="s">
        <v>2907</v>
      </c>
      <c r="G4" t="s">
        <v>91</v>
      </c>
    </row>
    <row r="5" spans="1:7" ht="11.25" customHeight="1">
      <c r="A5" s="310" t="s">
        <v>16</v>
      </c>
      <c r="B5" t="s">
        <v>2903</v>
      </c>
      <c r="C5" t="s">
        <v>2904</v>
      </c>
      <c r="D5" t="s">
        <v>2911</v>
      </c>
      <c r="E5" t="s">
        <v>2912</v>
      </c>
      <c r="F5" t="s">
        <v>2907</v>
      </c>
      <c r="G5" t="s">
        <v>92</v>
      </c>
    </row>
    <row r="6" spans="1:7" ht="11.25" customHeight="1">
      <c r="A6" s="310" t="s">
        <v>16</v>
      </c>
      <c r="B6" t="s">
        <v>2903</v>
      </c>
      <c r="C6" t="s">
        <v>2904</v>
      </c>
      <c r="D6" t="s">
        <v>2913</v>
      </c>
      <c r="E6" t="s">
        <v>2914</v>
      </c>
      <c r="F6" t="s">
        <v>2907</v>
      </c>
      <c r="G6" t="s">
        <v>112</v>
      </c>
    </row>
    <row r="7" spans="1:7" ht="11.25" customHeight="1">
      <c r="A7" s="310" t="s">
        <v>16</v>
      </c>
      <c r="B7" t="s">
        <v>2903</v>
      </c>
      <c r="C7" t="s">
        <v>2904</v>
      </c>
      <c r="D7" t="s">
        <v>2915</v>
      </c>
      <c r="E7" t="s">
        <v>2916</v>
      </c>
      <c r="F7" t="s">
        <v>2907</v>
      </c>
      <c r="G7" t="s">
        <v>93</v>
      </c>
    </row>
    <row r="8" spans="1:7" ht="11.25" customHeight="1">
      <c r="A8" s="310" t="s">
        <v>16</v>
      </c>
      <c r="B8" t="s">
        <v>2903</v>
      </c>
      <c r="C8" t="s">
        <v>2904</v>
      </c>
      <c r="D8" t="s">
        <v>2917</v>
      </c>
      <c r="E8" t="s">
        <v>2918</v>
      </c>
      <c r="F8" t="s">
        <v>2907</v>
      </c>
      <c r="G8" t="s">
        <v>94</v>
      </c>
    </row>
    <row r="9" spans="1:7" ht="11.25" customHeight="1">
      <c r="A9" s="310" t="s">
        <v>16</v>
      </c>
      <c r="B9" t="s">
        <v>2903</v>
      </c>
      <c r="C9" t="s">
        <v>2904</v>
      </c>
      <c r="D9" t="s">
        <v>2919</v>
      </c>
      <c r="E9" t="s">
        <v>2920</v>
      </c>
      <c r="F9" t="s">
        <v>2907</v>
      </c>
      <c r="G9" t="s">
        <v>113</v>
      </c>
    </row>
    <row r="10" spans="1:7" ht="11.25" customHeight="1">
      <c r="A10" s="310" t="s">
        <v>16</v>
      </c>
      <c r="B10" t="s">
        <v>2903</v>
      </c>
      <c r="C10" t="s">
        <v>2904</v>
      </c>
      <c r="D10" t="s">
        <v>2921</v>
      </c>
      <c r="E10" t="s">
        <v>2922</v>
      </c>
      <c r="F10" t="s">
        <v>2907</v>
      </c>
      <c r="G10" t="s">
        <v>149</v>
      </c>
    </row>
    <row r="11" spans="1:7" ht="11.25" customHeight="1">
      <c r="A11" s="310" t="s">
        <v>16</v>
      </c>
      <c r="B11" t="s">
        <v>2903</v>
      </c>
      <c r="C11" t="s">
        <v>2904</v>
      </c>
      <c r="D11" t="s">
        <v>2923</v>
      </c>
      <c r="E11" t="s">
        <v>2924</v>
      </c>
      <c r="F11" t="s">
        <v>2907</v>
      </c>
      <c r="G11" t="s">
        <v>150</v>
      </c>
    </row>
    <row r="12" spans="1:7" ht="11.25" customHeight="1">
      <c r="A12" s="310" t="s">
        <v>16</v>
      </c>
      <c r="B12" t="s">
        <v>2903</v>
      </c>
      <c r="C12" t="s">
        <v>2904</v>
      </c>
      <c r="D12" t="s">
        <v>2925</v>
      </c>
      <c r="E12" t="s">
        <v>2926</v>
      </c>
      <c r="F12" t="s">
        <v>2907</v>
      </c>
      <c r="G12" t="s">
        <v>151</v>
      </c>
    </row>
    <row r="13" spans="1:7" ht="11.25" customHeight="1">
      <c r="A13" s="310" t="s">
        <v>16</v>
      </c>
      <c r="B13" t="s">
        <v>2903</v>
      </c>
      <c r="C13" t="s">
        <v>2904</v>
      </c>
      <c r="D13" t="s">
        <v>2927</v>
      </c>
      <c r="E13" t="s">
        <v>2928</v>
      </c>
      <c r="F13" t="s">
        <v>2907</v>
      </c>
      <c r="G13" t="s">
        <v>152</v>
      </c>
    </row>
    <row r="14" spans="1:7" ht="11.25" customHeight="1">
      <c r="A14" s="310" t="s">
        <v>16</v>
      </c>
      <c r="B14" t="s">
        <v>2903</v>
      </c>
      <c r="C14" t="s">
        <v>2904</v>
      </c>
      <c r="D14" t="s">
        <v>2929</v>
      </c>
      <c r="E14" t="s">
        <v>2930</v>
      </c>
      <c r="F14" t="s">
        <v>2907</v>
      </c>
      <c r="G14" t="s">
        <v>153</v>
      </c>
    </row>
    <row r="15" spans="1:7" ht="11.25" customHeight="1">
      <c r="A15" s="310" t="s">
        <v>16</v>
      </c>
      <c r="B15" t="s">
        <v>2903</v>
      </c>
      <c r="C15" t="s">
        <v>2904</v>
      </c>
      <c r="D15" t="s">
        <v>2931</v>
      </c>
      <c r="E15" t="s">
        <v>2932</v>
      </c>
      <c r="F15" t="s">
        <v>2907</v>
      </c>
      <c r="G15" t="s">
        <v>154</v>
      </c>
    </row>
    <row r="16" spans="1:7" ht="11.25" customHeight="1">
      <c r="A16" s="310" t="s">
        <v>16</v>
      </c>
      <c r="B16" t="s">
        <v>2903</v>
      </c>
      <c r="C16" t="s">
        <v>2904</v>
      </c>
      <c r="D16" t="s">
        <v>2933</v>
      </c>
      <c r="E16" t="s">
        <v>2934</v>
      </c>
      <c r="F16" t="s">
        <v>2907</v>
      </c>
      <c r="G16" t="s">
        <v>1474</v>
      </c>
    </row>
    <row r="17" spans="1:7" ht="11.25" customHeight="1">
      <c r="A17" s="310" t="s">
        <v>16</v>
      </c>
      <c r="B17" t="s">
        <v>2935</v>
      </c>
      <c r="C17" t="s">
        <v>2936</v>
      </c>
      <c r="D17" t="s">
        <v>2935</v>
      </c>
      <c r="E17" t="s">
        <v>2936</v>
      </c>
      <c r="F17" t="s">
        <v>2908</v>
      </c>
      <c r="G17" t="s">
        <v>1480</v>
      </c>
    </row>
    <row r="18" spans="1:7" ht="11.25" customHeight="1">
      <c r="A18" s="310" t="s">
        <v>16</v>
      </c>
      <c r="B18" t="s">
        <v>2935</v>
      </c>
      <c r="C18" t="s">
        <v>2936</v>
      </c>
      <c r="D18" t="s">
        <v>2937</v>
      </c>
      <c r="E18" t="s">
        <v>2938</v>
      </c>
      <c r="F18" t="s">
        <v>2907</v>
      </c>
      <c r="G18" t="s">
        <v>1492</v>
      </c>
    </row>
    <row r="19" spans="1:7" ht="11.25" customHeight="1">
      <c r="A19" s="310" t="s">
        <v>16</v>
      </c>
      <c r="B19" t="s">
        <v>2935</v>
      </c>
      <c r="C19" t="s">
        <v>2936</v>
      </c>
      <c r="D19" t="s">
        <v>2939</v>
      </c>
      <c r="E19" t="s">
        <v>2940</v>
      </c>
      <c r="F19" t="s">
        <v>2907</v>
      </c>
      <c r="G19" t="s">
        <v>1506</v>
      </c>
    </row>
    <row r="20" spans="1:7" ht="11.25" customHeight="1">
      <c r="A20" s="310" t="s">
        <v>16</v>
      </c>
      <c r="B20" t="s">
        <v>2935</v>
      </c>
      <c r="C20" t="s">
        <v>2936</v>
      </c>
      <c r="D20" t="s">
        <v>2941</v>
      </c>
      <c r="E20" t="s">
        <v>2942</v>
      </c>
      <c r="F20" t="s">
        <v>2907</v>
      </c>
      <c r="G20" t="s">
        <v>1518</v>
      </c>
    </row>
    <row r="21" spans="1:7" ht="11.25" customHeight="1">
      <c r="A21" s="310" t="s">
        <v>16</v>
      </c>
      <c r="B21" t="s">
        <v>2935</v>
      </c>
      <c r="C21" t="s">
        <v>2936</v>
      </c>
      <c r="D21" t="s">
        <v>2943</v>
      </c>
      <c r="E21" t="s">
        <v>2944</v>
      </c>
      <c r="F21" t="s">
        <v>2907</v>
      </c>
      <c r="G21" t="s">
        <v>1527</v>
      </c>
    </row>
    <row r="22" spans="1:7" ht="11.25" customHeight="1">
      <c r="A22" s="310" t="s">
        <v>16</v>
      </c>
      <c r="B22" t="s">
        <v>2935</v>
      </c>
      <c r="C22" t="s">
        <v>2936</v>
      </c>
      <c r="D22" t="s">
        <v>2945</v>
      </c>
      <c r="E22" t="s">
        <v>2946</v>
      </c>
      <c r="F22" t="s">
        <v>2907</v>
      </c>
      <c r="G22" t="s">
        <v>1543</v>
      </c>
    </row>
    <row r="23" spans="1:7" ht="11.25" customHeight="1">
      <c r="A23" s="310" t="s">
        <v>16</v>
      </c>
      <c r="B23" t="s">
        <v>2935</v>
      </c>
      <c r="C23" t="s">
        <v>2936</v>
      </c>
      <c r="D23" t="s">
        <v>2947</v>
      </c>
      <c r="E23" t="s">
        <v>2948</v>
      </c>
      <c r="F23" t="s">
        <v>2907</v>
      </c>
      <c r="G23" t="s">
        <v>1550</v>
      </c>
    </row>
    <row r="24" spans="1:7" ht="11.25" customHeight="1">
      <c r="A24" s="310" t="s">
        <v>16</v>
      </c>
      <c r="B24" t="s">
        <v>2935</v>
      </c>
      <c r="C24" t="s">
        <v>2936</v>
      </c>
      <c r="D24" t="s">
        <v>2949</v>
      </c>
      <c r="E24" t="s">
        <v>2950</v>
      </c>
      <c r="F24" t="s">
        <v>2907</v>
      </c>
      <c r="G24" t="s">
        <v>1558</v>
      </c>
    </row>
    <row r="25" spans="1:7" ht="11.25" customHeight="1">
      <c r="A25" s="310" t="s">
        <v>16</v>
      </c>
      <c r="B25" t="s">
        <v>2951</v>
      </c>
      <c r="C25" t="s">
        <v>2952</v>
      </c>
      <c r="D25" t="s">
        <v>2953</v>
      </c>
      <c r="E25" t="s">
        <v>2954</v>
      </c>
      <c r="F25" t="s">
        <v>2907</v>
      </c>
      <c r="G25" t="s">
        <v>1565</v>
      </c>
    </row>
    <row r="26" spans="1:7" ht="11.25" customHeight="1">
      <c r="A26" s="310" t="s">
        <v>16</v>
      </c>
      <c r="B26" t="s">
        <v>2951</v>
      </c>
      <c r="C26" t="s">
        <v>2952</v>
      </c>
      <c r="D26" t="s">
        <v>2955</v>
      </c>
      <c r="E26" t="s">
        <v>2956</v>
      </c>
      <c r="F26" t="s">
        <v>2907</v>
      </c>
      <c r="G26" t="s">
        <v>1569</v>
      </c>
    </row>
    <row r="27" spans="1:7" ht="11.25" customHeight="1">
      <c r="A27" s="310" t="s">
        <v>16</v>
      </c>
      <c r="B27" t="s">
        <v>2951</v>
      </c>
      <c r="C27" t="s">
        <v>2952</v>
      </c>
      <c r="D27" t="s">
        <v>2951</v>
      </c>
      <c r="E27" t="s">
        <v>2952</v>
      </c>
      <c r="F27" t="s">
        <v>2908</v>
      </c>
      <c r="G27" t="s">
        <v>1574</v>
      </c>
    </row>
    <row r="28" spans="1:7" ht="11.25" customHeight="1">
      <c r="A28" s="310" t="s">
        <v>16</v>
      </c>
      <c r="B28" t="s">
        <v>2951</v>
      </c>
      <c r="C28" t="s">
        <v>2952</v>
      </c>
      <c r="D28" t="s">
        <v>2957</v>
      </c>
      <c r="E28" t="s">
        <v>2958</v>
      </c>
      <c r="F28" t="s">
        <v>2907</v>
      </c>
      <c r="G28" t="s">
        <v>1582</v>
      </c>
    </row>
    <row r="29" spans="1:7" ht="11.25" customHeight="1">
      <c r="A29" s="310" t="s">
        <v>16</v>
      </c>
      <c r="B29" t="s">
        <v>2951</v>
      </c>
      <c r="C29" t="s">
        <v>2952</v>
      </c>
      <c r="D29" t="s">
        <v>2959</v>
      </c>
      <c r="E29" t="s">
        <v>2960</v>
      </c>
      <c r="F29" t="s">
        <v>2907</v>
      </c>
      <c r="G29" t="s">
        <v>1584</v>
      </c>
    </row>
    <row r="30" spans="1:7" ht="11.25" customHeight="1">
      <c r="A30" s="310" t="s">
        <v>16</v>
      </c>
      <c r="B30" t="s">
        <v>2951</v>
      </c>
      <c r="C30" t="s">
        <v>2952</v>
      </c>
      <c r="D30" t="s">
        <v>2961</v>
      </c>
      <c r="E30" t="s">
        <v>2962</v>
      </c>
      <c r="F30" t="s">
        <v>2907</v>
      </c>
      <c r="G30" t="s">
        <v>1587</v>
      </c>
    </row>
    <row r="31" spans="1:7" ht="11.25" customHeight="1">
      <c r="A31" s="310" t="s">
        <v>16</v>
      </c>
      <c r="B31" t="s">
        <v>2951</v>
      </c>
      <c r="C31" t="s">
        <v>2952</v>
      </c>
      <c r="D31" t="s">
        <v>2963</v>
      </c>
      <c r="E31" t="s">
        <v>2964</v>
      </c>
      <c r="F31" t="s">
        <v>2907</v>
      </c>
      <c r="G31" t="s">
        <v>1592</v>
      </c>
    </row>
    <row r="32" spans="1:7" ht="11.25" customHeight="1">
      <c r="A32" s="310" t="s">
        <v>16</v>
      </c>
      <c r="B32" t="s">
        <v>2951</v>
      </c>
      <c r="C32" t="s">
        <v>2952</v>
      </c>
      <c r="D32" t="s">
        <v>2965</v>
      </c>
      <c r="E32" t="s">
        <v>2966</v>
      </c>
      <c r="F32" t="s">
        <v>2907</v>
      </c>
      <c r="G32" t="s">
        <v>1593</v>
      </c>
    </row>
    <row r="33" spans="1:7" ht="11.25" customHeight="1">
      <c r="A33" s="310" t="s">
        <v>16</v>
      </c>
      <c r="B33" t="s">
        <v>2951</v>
      </c>
      <c r="C33" t="s">
        <v>2952</v>
      </c>
      <c r="D33" t="s">
        <v>2967</v>
      </c>
      <c r="E33" t="s">
        <v>2968</v>
      </c>
      <c r="F33" t="s">
        <v>2907</v>
      </c>
      <c r="G33" t="s">
        <v>1595</v>
      </c>
    </row>
    <row r="34" spans="1:7" ht="11.25" customHeight="1">
      <c r="A34" s="310" t="s">
        <v>16</v>
      </c>
      <c r="B34" t="s">
        <v>2951</v>
      </c>
      <c r="C34" t="s">
        <v>2952</v>
      </c>
      <c r="D34" t="s">
        <v>2969</v>
      </c>
      <c r="E34" t="s">
        <v>2970</v>
      </c>
      <c r="F34" t="s">
        <v>2907</v>
      </c>
      <c r="G34" t="s">
        <v>1597</v>
      </c>
    </row>
    <row r="35" spans="1:7" ht="11.25" customHeight="1">
      <c r="A35" s="310" t="s">
        <v>16</v>
      </c>
      <c r="B35" t="s">
        <v>2951</v>
      </c>
      <c r="C35" t="s">
        <v>2952</v>
      </c>
      <c r="D35" t="s">
        <v>2971</v>
      </c>
      <c r="E35" t="s">
        <v>2972</v>
      </c>
      <c r="F35" t="s">
        <v>2907</v>
      </c>
      <c r="G35" t="s">
        <v>1602</v>
      </c>
    </row>
    <row r="36" spans="1:7" ht="11.25" customHeight="1">
      <c r="A36" s="310" t="s">
        <v>16</v>
      </c>
      <c r="B36" t="s">
        <v>2951</v>
      </c>
      <c r="C36" t="s">
        <v>2952</v>
      </c>
      <c r="D36" t="s">
        <v>2973</v>
      </c>
      <c r="E36" t="s">
        <v>2974</v>
      </c>
      <c r="F36" t="s">
        <v>2907</v>
      </c>
      <c r="G36" t="s">
        <v>1607</v>
      </c>
    </row>
    <row r="37" spans="1:7" ht="11.25" customHeight="1">
      <c r="A37" s="310" t="s">
        <v>16</v>
      </c>
      <c r="B37" t="s">
        <v>2951</v>
      </c>
      <c r="C37" t="s">
        <v>2952</v>
      </c>
      <c r="D37" t="s">
        <v>2975</v>
      </c>
      <c r="E37" t="s">
        <v>2976</v>
      </c>
      <c r="F37" t="s">
        <v>2977</v>
      </c>
      <c r="G37" t="s">
        <v>1611</v>
      </c>
    </row>
    <row r="38" spans="1:7" ht="11.25" customHeight="1">
      <c r="A38" s="310" t="s">
        <v>16</v>
      </c>
      <c r="B38" t="s">
        <v>2951</v>
      </c>
      <c r="C38" t="s">
        <v>2952</v>
      </c>
      <c r="D38" t="s">
        <v>2978</v>
      </c>
      <c r="E38" t="s">
        <v>2979</v>
      </c>
      <c r="F38" t="s">
        <v>2977</v>
      </c>
      <c r="G38" t="s">
        <v>1619</v>
      </c>
    </row>
    <row r="39" spans="1:7" ht="11.25" customHeight="1">
      <c r="A39" s="310" t="s">
        <v>16</v>
      </c>
      <c r="B39" t="s">
        <v>2980</v>
      </c>
      <c r="C39" t="s">
        <v>2981</v>
      </c>
      <c r="D39" t="s">
        <v>2982</v>
      </c>
      <c r="E39" t="s">
        <v>2983</v>
      </c>
      <c r="F39" t="s">
        <v>2907</v>
      </c>
      <c r="G39" t="s">
        <v>1625</v>
      </c>
    </row>
    <row r="40" spans="1:7" ht="11.25" customHeight="1">
      <c r="A40" s="310" t="s">
        <v>16</v>
      </c>
      <c r="B40" t="s">
        <v>2980</v>
      </c>
      <c r="C40" t="s">
        <v>2981</v>
      </c>
      <c r="D40" t="s">
        <v>2984</v>
      </c>
      <c r="E40" t="s">
        <v>2985</v>
      </c>
      <c r="F40" t="s">
        <v>2907</v>
      </c>
      <c r="G40" t="s">
        <v>1630</v>
      </c>
    </row>
    <row r="41" spans="1:7" ht="11.25" customHeight="1">
      <c r="A41" s="310" t="s">
        <v>16</v>
      </c>
      <c r="B41" t="s">
        <v>2980</v>
      </c>
      <c r="C41" t="s">
        <v>2981</v>
      </c>
      <c r="D41" t="s">
        <v>2980</v>
      </c>
      <c r="E41" t="s">
        <v>2981</v>
      </c>
      <c r="F41" t="s">
        <v>2908</v>
      </c>
      <c r="G41" t="s">
        <v>1634</v>
      </c>
    </row>
    <row r="42" spans="1:7" ht="11.25" customHeight="1">
      <c r="A42" s="310" t="s">
        <v>16</v>
      </c>
      <c r="B42" t="s">
        <v>2980</v>
      </c>
      <c r="C42" t="s">
        <v>2981</v>
      </c>
      <c r="D42" t="s">
        <v>2986</v>
      </c>
      <c r="E42" t="s">
        <v>2987</v>
      </c>
      <c r="F42" t="s">
        <v>2907</v>
      </c>
      <c r="G42" t="s">
        <v>1637</v>
      </c>
    </row>
    <row r="43" spans="1:7" ht="11.25" customHeight="1">
      <c r="A43" s="310" t="s">
        <v>16</v>
      </c>
      <c r="B43" t="s">
        <v>2980</v>
      </c>
      <c r="C43" t="s">
        <v>2981</v>
      </c>
      <c r="D43" t="s">
        <v>2988</v>
      </c>
      <c r="E43" t="s">
        <v>2989</v>
      </c>
      <c r="F43" t="s">
        <v>2907</v>
      </c>
      <c r="G43" t="s">
        <v>1644</v>
      </c>
    </row>
    <row r="44" spans="1:7" ht="11.25" customHeight="1">
      <c r="A44" s="310" t="s">
        <v>16</v>
      </c>
      <c r="B44" t="s">
        <v>2980</v>
      </c>
      <c r="C44" t="s">
        <v>2981</v>
      </c>
      <c r="D44" t="s">
        <v>2990</v>
      </c>
      <c r="E44" t="s">
        <v>2991</v>
      </c>
      <c r="F44" t="s">
        <v>2907</v>
      </c>
      <c r="G44" t="s">
        <v>1653</v>
      </c>
    </row>
    <row r="45" spans="1:7" ht="11.25" customHeight="1">
      <c r="A45" s="310" t="s">
        <v>16</v>
      </c>
      <c r="B45" t="s">
        <v>2980</v>
      </c>
      <c r="C45" t="s">
        <v>2981</v>
      </c>
      <c r="D45" t="s">
        <v>2992</v>
      </c>
      <c r="E45" t="s">
        <v>2993</v>
      </c>
      <c r="F45" t="s">
        <v>2907</v>
      </c>
      <c r="G45" t="s">
        <v>1658</v>
      </c>
    </row>
    <row r="46" spans="1:7" ht="11.25" customHeight="1">
      <c r="A46" s="310" t="s">
        <v>16</v>
      </c>
      <c r="B46" t="s">
        <v>2980</v>
      </c>
      <c r="C46" t="s">
        <v>2981</v>
      </c>
      <c r="D46" t="s">
        <v>2994</v>
      </c>
      <c r="E46" t="s">
        <v>2995</v>
      </c>
      <c r="F46" t="s">
        <v>2907</v>
      </c>
      <c r="G46" t="s">
        <v>1662</v>
      </c>
    </row>
    <row r="47" spans="1:7" ht="11.25" customHeight="1">
      <c r="A47" s="310" t="s">
        <v>16</v>
      </c>
      <c r="B47" t="s">
        <v>2980</v>
      </c>
      <c r="C47" t="s">
        <v>2981</v>
      </c>
      <c r="D47" t="s">
        <v>2996</v>
      </c>
      <c r="E47" t="s">
        <v>2997</v>
      </c>
      <c r="F47" t="s">
        <v>2907</v>
      </c>
      <c r="G47" t="s">
        <v>1668</v>
      </c>
    </row>
    <row r="48" spans="1:7" ht="11.25" customHeight="1">
      <c r="A48" s="310" t="s">
        <v>16</v>
      </c>
      <c r="B48" t="s">
        <v>2980</v>
      </c>
      <c r="C48" t="s">
        <v>2981</v>
      </c>
      <c r="D48" t="s">
        <v>2998</v>
      </c>
      <c r="E48" t="s">
        <v>2999</v>
      </c>
      <c r="F48" t="s">
        <v>2907</v>
      </c>
      <c r="G48" t="s">
        <v>1673</v>
      </c>
    </row>
    <row r="49" spans="1:7" ht="11.25" customHeight="1">
      <c r="A49" s="310" t="s">
        <v>16</v>
      </c>
      <c r="B49" t="s">
        <v>2980</v>
      </c>
      <c r="C49" t="s">
        <v>2981</v>
      </c>
      <c r="D49" t="s">
        <v>3000</v>
      </c>
      <c r="E49" t="s">
        <v>3001</v>
      </c>
      <c r="F49" t="s">
        <v>2907</v>
      </c>
      <c r="G49" t="s">
        <v>1676</v>
      </c>
    </row>
    <row r="50" spans="1:7" ht="11.25" customHeight="1">
      <c r="A50" s="310" t="s">
        <v>16</v>
      </c>
      <c r="B50" t="s">
        <v>2980</v>
      </c>
      <c r="C50" t="s">
        <v>2981</v>
      </c>
      <c r="D50" t="s">
        <v>3002</v>
      </c>
      <c r="E50" t="s">
        <v>3003</v>
      </c>
      <c r="F50" t="s">
        <v>2907</v>
      </c>
      <c r="G50" t="s">
        <v>1679</v>
      </c>
    </row>
    <row r="51" spans="1:7" ht="11.25" customHeight="1">
      <c r="A51" s="310" t="s">
        <v>16</v>
      </c>
      <c r="B51" t="s">
        <v>2980</v>
      </c>
      <c r="C51" t="s">
        <v>2981</v>
      </c>
      <c r="D51" t="s">
        <v>3004</v>
      </c>
      <c r="E51" t="s">
        <v>3005</v>
      </c>
      <c r="F51" t="s">
        <v>2907</v>
      </c>
      <c r="G51" t="s">
        <v>1684</v>
      </c>
    </row>
    <row r="52" spans="1:7" ht="11.25" customHeight="1">
      <c r="A52" s="310" t="s">
        <v>16</v>
      </c>
      <c r="B52" t="s">
        <v>2980</v>
      </c>
      <c r="C52" t="s">
        <v>2981</v>
      </c>
      <c r="D52" t="s">
        <v>3006</v>
      </c>
      <c r="E52" t="s">
        <v>3007</v>
      </c>
      <c r="F52" t="s">
        <v>2907</v>
      </c>
      <c r="G52" t="s">
        <v>1688</v>
      </c>
    </row>
    <row r="53" spans="1:7" ht="11.25" customHeight="1">
      <c r="A53" s="310" t="s">
        <v>16</v>
      </c>
      <c r="B53" t="s">
        <v>2980</v>
      </c>
      <c r="C53" t="s">
        <v>2981</v>
      </c>
      <c r="D53" t="s">
        <v>3008</v>
      </c>
      <c r="E53" t="s">
        <v>3009</v>
      </c>
      <c r="F53" t="s">
        <v>2907</v>
      </c>
      <c r="G53" t="s">
        <v>1690</v>
      </c>
    </row>
    <row r="54" spans="1:7" ht="11.25" customHeight="1">
      <c r="A54" s="310" t="s">
        <v>16</v>
      </c>
      <c r="B54" t="s">
        <v>2980</v>
      </c>
      <c r="C54" t="s">
        <v>2981</v>
      </c>
      <c r="D54" t="s">
        <v>3010</v>
      </c>
      <c r="E54" t="s">
        <v>3011</v>
      </c>
      <c r="F54" t="s">
        <v>2977</v>
      </c>
      <c r="G54" t="s">
        <v>1693</v>
      </c>
    </row>
    <row r="55" spans="1:7" ht="11.25" customHeight="1">
      <c r="A55" s="310" t="s">
        <v>16</v>
      </c>
      <c r="B55" t="s">
        <v>3012</v>
      </c>
      <c r="C55" t="s">
        <v>3013</v>
      </c>
      <c r="D55" t="s">
        <v>3014</v>
      </c>
      <c r="E55" t="s">
        <v>3015</v>
      </c>
      <c r="F55" t="s">
        <v>2907</v>
      </c>
      <c r="G55" t="s">
        <v>1697</v>
      </c>
    </row>
    <row r="56" spans="1:7" ht="11.25" customHeight="1">
      <c r="A56" s="310" t="s">
        <v>16</v>
      </c>
      <c r="B56" t="s">
        <v>3012</v>
      </c>
      <c r="C56" t="s">
        <v>3013</v>
      </c>
      <c r="D56" t="s">
        <v>3012</v>
      </c>
      <c r="E56" t="s">
        <v>3013</v>
      </c>
      <c r="F56" t="s">
        <v>2908</v>
      </c>
      <c r="G56" t="s">
        <v>1700</v>
      </c>
    </row>
    <row r="57" spans="1:7" ht="11.25" customHeight="1">
      <c r="A57" s="310" t="s">
        <v>16</v>
      </c>
      <c r="B57" t="s">
        <v>3012</v>
      </c>
      <c r="C57" t="s">
        <v>3013</v>
      </c>
      <c r="D57" t="s">
        <v>3016</v>
      </c>
      <c r="E57" t="s">
        <v>3017</v>
      </c>
      <c r="F57" t="s">
        <v>2907</v>
      </c>
      <c r="G57" t="s">
        <v>1703</v>
      </c>
    </row>
    <row r="58" spans="1:7" ht="11.25" customHeight="1">
      <c r="A58" s="310" t="s">
        <v>16</v>
      </c>
      <c r="B58" t="s">
        <v>3012</v>
      </c>
      <c r="C58" t="s">
        <v>3013</v>
      </c>
      <c r="D58" t="s">
        <v>3018</v>
      </c>
      <c r="E58" t="s">
        <v>3019</v>
      </c>
      <c r="F58" t="s">
        <v>2907</v>
      </c>
      <c r="G58" t="s">
        <v>1706</v>
      </c>
    </row>
    <row r="59" spans="1:7" ht="11.25" customHeight="1">
      <c r="A59" s="310" t="s">
        <v>16</v>
      </c>
      <c r="B59" t="s">
        <v>3012</v>
      </c>
      <c r="C59" t="s">
        <v>3013</v>
      </c>
      <c r="D59" t="s">
        <v>3020</v>
      </c>
      <c r="E59" t="s">
        <v>3021</v>
      </c>
      <c r="F59" t="s">
        <v>2907</v>
      </c>
      <c r="G59" t="s">
        <v>1710</v>
      </c>
    </row>
    <row r="60" spans="1:7" ht="11.25" customHeight="1">
      <c r="A60" s="310" t="s">
        <v>16</v>
      </c>
      <c r="B60" t="s">
        <v>3012</v>
      </c>
      <c r="C60" t="s">
        <v>3013</v>
      </c>
      <c r="D60" t="s">
        <v>3022</v>
      </c>
      <c r="E60" t="s">
        <v>3023</v>
      </c>
      <c r="F60" t="s">
        <v>2907</v>
      </c>
      <c r="G60" t="s">
        <v>1713</v>
      </c>
    </row>
    <row r="61" spans="1:7" ht="11.25" customHeight="1">
      <c r="A61" s="310" t="s">
        <v>16</v>
      </c>
      <c r="B61" t="s">
        <v>3012</v>
      </c>
      <c r="C61" t="s">
        <v>3013</v>
      </c>
      <c r="D61" t="s">
        <v>3024</v>
      </c>
      <c r="E61" t="s">
        <v>3025</v>
      </c>
      <c r="F61" t="s">
        <v>2907</v>
      </c>
      <c r="G61" t="s">
        <v>3026</v>
      </c>
    </row>
    <row r="62" spans="1:7" ht="11.25" customHeight="1">
      <c r="A62" s="310" t="s">
        <v>16</v>
      </c>
      <c r="B62" t="s">
        <v>3012</v>
      </c>
      <c r="C62" t="s">
        <v>3013</v>
      </c>
      <c r="D62" t="s">
        <v>3027</v>
      </c>
      <c r="E62" t="s">
        <v>3028</v>
      </c>
      <c r="F62" t="s">
        <v>2907</v>
      </c>
      <c r="G62" t="s">
        <v>3029</v>
      </c>
    </row>
    <row r="63" spans="1:7" ht="11.25" customHeight="1">
      <c r="A63" s="310" t="s">
        <v>16</v>
      </c>
      <c r="B63" t="s">
        <v>3012</v>
      </c>
      <c r="C63" t="s">
        <v>3013</v>
      </c>
      <c r="D63" t="s">
        <v>3030</v>
      </c>
      <c r="E63" t="s">
        <v>3031</v>
      </c>
      <c r="F63" t="s">
        <v>3032</v>
      </c>
      <c r="G63" t="s">
        <v>3033</v>
      </c>
    </row>
    <row r="64" spans="1:7" ht="11.25" customHeight="1">
      <c r="A64" s="310" t="s">
        <v>16</v>
      </c>
      <c r="B64" t="s">
        <v>3034</v>
      </c>
      <c r="C64" t="s">
        <v>3035</v>
      </c>
      <c r="D64" t="s">
        <v>3036</v>
      </c>
      <c r="E64" t="s">
        <v>3037</v>
      </c>
      <c r="F64" t="s">
        <v>2907</v>
      </c>
      <c r="G64" t="s">
        <v>3038</v>
      </c>
    </row>
    <row r="65" spans="1:7" ht="11.25" customHeight="1">
      <c r="A65" s="310" t="s">
        <v>16</v>
      </c>
      <c r="B65" t="s">
        <v>3034</v>
      </c>
      <c r="C65" t="s">
        <v>3035</v>
      </c>
      <c r="D65" t="s">
        <v>3039</v>
      </c>
      <c r="E65" t="s">
        <v>3040</v>
      </c>
      <c r="F65" t="s">
        <v>2907</v>
      </c>
      <c r="G65" t="s">
        <v>3041</v>
      </c>
    </row>
    <row r="66" spans="1:7" ht="11.25" customHeight="1">
      <c r="A66" s="310" t="s">
        <v>16</v>
      </c>
      <c r="B66" t="s">
        <v>3034</v>
      </c>
      <c r="C66" t="s">
        <v>3035</v>
      </c>
      <c r="D66" t="s">
        <v>3042</v>
      </c>
      <c r="E66" t="s">
        <v>3043</v>
      </c>
      <c r="F66" t="s">
        <v>2907</v>
      </c>
      <c r="G66" t="s">
        <v>3044</v>
      </c>
    </row>
    <row r="67" spans="1:7" ht="11.25" customHeight="1">
      <c r="A67" s="310" t="s">
        <v>16</v>
      </c>
      <c r="B67" t="s">
        <v>3034</v>
      </c>
      <c r="C67" t="s">
        <v>3035</v>
      </c>
      <c r="D67" t="s">
        <v>3045</v>
      </c>
      <c r="E67" t="s">
        <v>3046</v>
      </c>
      <c r="F67" t="s">
        <v>2907</v>
      </c>
      <c r="G67" t="s">
        <v>2032</v>
      </c>
    </row>
    <row r="68" spans="1:7" ht="11.25" customHeight="1">
      <c r="A68" s="310" t="s">
        <v>16</v>
      </c>
      <c r="B68" t="s">
        <v>3034</v>
      </c>
      <c r="C68" t="s">
        <v>3035</v>
      </c>
      <c r="D68" t="s">
        <v>3034</v>
      </c>
      <c r="E68" t="s">
        <v>3035</v>
      </c>
      <c r="F68" t="s">
        <v>2908</v>
      </c>
      <c r="G68" t="s">
        <v>3047</v>
      </c>
    </row>
    <row r="69" spans="1:7" ht="11.25" customHeight="1">
      <c r="A69" s="310" t="s">
        <v>16</v>
      </c>
      <c r="B69" t="s">
        <v>3034</v>
      </c>
      <c r="C69" t="s">
        <v>3035</v>
      </c>
      <c r="D69" t="s">
        <v>3048</v>
      </c>
      <c r="E69" t="s">
        <v>3049</v>
      </c>
      <c r="F69" t="s">
        <v>2907</v>
      </c>
      <c r="G69" t="s">
        <v>2235</v>
      </c>
    </row>
    <row r="70" spans="1:7" ht="11.25" customHeight="1">
      <c r="A70" s="310" t="s">
        <v>16</v>
      </c>
      <c r="B70" t="s">
        <v>3034</v>
      </c>
      <c r="C70" t="s">
        <v>3035</v>
      </c>
      <c r="D70" t="s">
        <v>3050</v>
      </c>
      <c r="E70" t="s">
        <v>3051</v>
      </c>
      <c r="F70" t="s">
        <v>2907</v>
      </c>
      <c r="G70" t="s">
        <v>3052</v>
      </c>
    </row>
    <row r="71" spans="1:7" ht="11.25" customHeight="1">
      <c r="A71" s="310" t="s">
        <v>16</v>
      </c>
      <c r="B71" t="s">
        <v>3034</v>
      </c>
      <c r="C71" t="s">
        <v>3035</v>
      </c>
      <c r="D71" t="s">
        <v>3053</v>
      </c>
      <c r="E71" t="s">
        <v>3054</v>
      </c>
      <c r="F71" t="s">
        <v>2907</v>
      </c>
      <c r="G71" t="s">
        <v>3055</v>
      </c>
    </row>
    <row r="72" spans="1:7" ht="11.25" customHeight="1">
      <c r="A72" s="310" t="s">
        <v>16</v>
      </c>
      <c r="B72" t="s">
        <v>3034</v>
      </c>
      <c r="C72" t="s">
        <v>3035</v>
      </c>
      <c r="D72" t="s">
        <v>3056</v>
      </c>
      <c r="E72" t="s">
        <v>3057</v>
      </c>
      <c r="F72" t="s">
        <v>2907</v>
      </c>
      <c r="G72" t="s">
        <v>3058</v>
      </c>
    </row>
    <row r="73" spans="1:7" ht="11.25" customHeight="1">
      <c r="A73" s="310" t="s">
        <v>16</v>
      </c>
      <c r="B73" t="s">
        <v>3034</v>
      </c>
      <c r="C73" t="s">
        <v>3035</v>
      </c>
      <c r="D73" t="s">
        <v>3059</v>
      </c>
      <c r="E73" t="s">
        <v>3060</v>
      </c>
      <c r="F73" t="s">
        <v>2907</v>
      </c>
      <c r="G73" t="s">
        <v>3061</v>
      </c>
    </row>
    <row r="74" spans="1:7" ht="11.25" customHeight="1">
      <c r="A74" s="310" t="s">
        <v>16</v>
      </c>
      <c r="B74" t="s">
        <v>3034</v>
      </c>
      <c r="C74" t="s">
        <v>3035</v>
      </c>
      <c r="D74" t="s">
        <v>3062</v>
      </c>
      <c r="E74" t="s">
        <v>3063</v>
      </c>
      <c r="F74" t="s">
        <v>2907</v>
      </c>
      <c r="G74" t="s">
        <v>3064</v>
      </c>
    </row>
    <row r="75" spans="1:7" ht="11.25" customHeight="1">
      <c r="A75" s="310" t="s">
        <v>16</v>
      </c>
      <c r="B75" t="s">
        <v>3034</v>
      </c>
      <c r="C75" t="s">
        <v>3035</v>
      </c>
      <c r="D75" t="s">
        <v>3065</v>
      </c>
      <c r="E75" t="s">
        <v>3066</v>
      </c>
      <c r="F75" t="s">
        <v>2907</v>
      </c>
      <c r="G75" t="s">
        <v>3067</v>
      </c>
    </row>
    <row r="76" spans="1:7" ht="11.25" customHeight="1">
      <c r="A76" s="310" t="s">
        <v>16</v>
      </c>
      <c r="B76" t="s">
        <v>3034</v>
      </c>
      <c r="C76" t="s">
        <v>3035</v>
      </c>
      <c r="D76" t="s">
        <v>3068</v>
      </c>
      <c r="E76" t="s">
        <v>3069</v>
      </c>
      <c r="F76" t="s">
        <v>2907</v>
      </c>
      <c r="G76" t="s">
        <v>3070</v>
      </c>
    </row>
    <row r="77" spans="1:7" ht="11.25" customHeight="1">
      <c r="A77" s="310" t="s">
        <v>16</v>
      </c>
      <c r="B77" t="s">
        <v>3034</v>
      </c>
      <c r="C77" t="s">
        <v>3035</v>
      </c>
      <c r="D77" t="s">
        <v>3071</v>
      </c>
      <c r="E77" t="s">
        <v>3072</v>
      </c>
      <c r="F77" t="s">
        <v>2977</v>
      </c>
      <c r="G77" t="s">
        <v>3073</v>
      </c>
    </row>
    <row r="78" spans="1:7" ht="11.25" customHeight="1">
      <c r="A78" s="310" t="s">
        <v>16</v>
      </c>
      <c r="B78" t="s">
        <v>3074</v>
      </c>
      <c r="C78" t="s">
        <v>3075</v>
      </c>
      <c r="D78" t="s">
        <v>3076</v>
      </c>
      <c r="E78" t="s">
        <v>3077</v>
      </c>
      <c r="F78" t="s">
        <v>2907</v>
      </c>
      <c r="G78" t="s">
        <v>3078</v>
      </c>
    </row>
    <row r="79" spans="1:7" ht="11.25" customHeight="1">
      <c r="A79" s="310" t="s">
        <v>16</v>
      </c>
      <c r="B79" t="s">
        <v>3074</v>
      </c>
      <c r="C79" t="s">
        <v>3075</v>
      </c>
      <c r="D79" t="s">
        <v>3079</v>
      </c>
      <c r="E79" t="s">
        <v>3080</v>
      </c>
      <c r="F79" t="s">
        <v>2907</v>
      </c>
      <c r="G79" t="s">
        <v>3081</v>
      </c>
    </row>
    <row r="80" spans="1:7" ht="11.25" customHeight="1">
      <c r="A80" s="310" t="s">
        <v>16</v>
      </c>
      <c r="B80" t="s">
        <v>3074</v>
      </c>
      <c r="C80" t="s">
        <v>3075</v>
      </c>
      <c r="D80" t="s">
        <v>3082</v>
      </c>
      <c r="E80" t="s">
        <v>3083</v>
      </c>
      <c r="F80" t="s">
        <v>2907</v>
      </c>
      <c r="G80" t="s">
        <v>3084</v>
      </c>
    </row>
    <row r="81" spans="1:7" ht="11.25" customHeight="1">
      <c r="A81" s="310" t="s">
        <v>16</v>
      </c>
      <c r="B81" t="s">
        <v>3074</v>
      </c>
      <c r="C81" t="s">
        <v>3075</v>
      </c>
      <c r="D81" t="s">
        <v>3085</v>
      </c>
      <c r="E81" t="s">
        <v>3086</v>
      </c>
      <c r="F81" t="s">
        <v>2907</v>
      </c>
      <c r="G81" t="s">
        <v>3087</v>
      </c>
    </row>
    <row r="82" spans="1:7" ht="11.25" customHeight="1">
      <c r="A82" s="310" t="s">
        <v>16</v>
      </c>
      <c r="B82" t="s">
        <v>3074</v>
      </c>
      <c r="C82" t="s">
        <v>3075</v>
      </c>
      <c r="D82" t="s">
        <v>3088</v>
      </c>
      <c r="E82" t="s">
        <v>3089</v>
      </c>
      <c r="F82" t="s">
        <v>2907</v>
      </c>
      <c r="G82" t="s">
        <v>3090</v>
      </c>
    </row>
    <row r="83" spans="1:7" ht="11.25" customHeight="1">
      <c r="A83" s="310" t="s">
        <v>16</v>
      </c>
      <c r="B83" t="s">
        <v>3074</v>
      </c>
      <c r="C83" t="s">
        <v>3075</v>
      </c>
      <c r="D83" t="s">
        <v>3074</v>
      </c>
      <c r="E83" t="s">
        <v>3075</v>
      </c>
      <c r="F83" t="s">
        <v>2908</v>
      </c>
      <c r="G83" t="s">
        <v>3091</v>
      </c>
    </row>
    <row r="84" spans="1:7" ht="11.25" customHeight="1">
      <c r="A84" s="310" t="s">
        <v>16</v>
      </c>
      <c r="B84" t="s">
        <v>3074</v>
      </c>
      <c r="C84" t="s">
        <v>3075</v>
      </c>
      <c r="D84" t="s">
        <v>3092</v>
      </c>
      <c r="E84" t="s">
        <v>3093</v>
      </c>
      <c r="F84" t="s">
        <v>2907</v>
      </c>
      <c r="G84" t="s">
        <v>3094</v>
      </c>
    </row>
    <row r="85" spans="1:7" ht="11.25" customHeight="1">
      <c r="A85" s="310" t="s">
        <v>16</v>
      </c>
      <c r="B85" t="s">
        <v>3074</v>
      </c>
      <c r="C85" t="s">
        <v>3075</v>
      </c>
      <c r="D85" t="s">
        <v>3095</v>
      </c>
      <c r="E85" t="s">
        <v>3096</v>
      </c>
      <c r="F85" t="s">
        <v>2907</v>
      </c>
      <c r="G85" t="s">
        <v>3097</v>
      </c>
    </row>
    <row r="86" spans="1:7" ht="11.25" customHeight="1">
      <c r="A86" s="310" t="s">
        <v>16</v>
      </c>
      <c r="B86" t="s">
        <v>3074</v>
      </c>
      <c r="C86" t="s">
        <v>3075</v>
      </c>
      <c r="D86" t="s">
        <v>3098</v>
      </c>
      <c r="E86" t="s">
        <v>3099</v>
      </c>
      <c r="F86" t="s">
        <v>2907</v>
      </c>
      <c r="G86" t="s">
        <v>3100</v>
      </c>
    </row>
    <row r="87" spans="1:7" ht="11.25" customHeight="1">
      <c r="A87" s="310" t="s">
        <v>16</v>
      </c>
      <c r="B87" t="s">
        <v>3074</v>
      </c>
      <c r="C87" t="s">
        <v>3075</v>
      </c>
      <c r="D87" t="s">
        <v>3101</v>
      </c>
      <c r="E87" t="s">
        <v>3102</v>
      </c>
      <c r="F87" t="s">
        <v>2907</v>
      </c>
      <c r="G87" t="s">
        <v>3103</v>
      </c>
    </row>
    <row r="88" spans="1:7" ht="11.25" customHeight="1">
      <c r="A88" s="310" t="s">
        <v>16</v>
      </c>
      <c r="B88" t="s">
        <v>3074</v>
      </c>
      <c r="C88" t="s">
        <v>3075</v>
      </c>
      <c r="D88" t="s">
        <v>3104</v>
      </c>
      <c r="E88" t="s">
        <v>3105</v>
      </c>
      <c r="F88" t="s">
        <v>2977</v>
      </c>
      <c r="G88" t="s">
        <v>3106</v>
      </c>
    </row>
    <row r="89" spans="1:7" ht="11.25" customHeight="1">
      <c r="A89" s="310" t="s">
        <v>16</v>
      </c>
      <c r="B89" t="s">
        <v>3107</v>
      </c>
      <c r="C89" t="s">
        <v>3108</v>
      </c>
      <c r="D89" t="s">
        <v>2953</v>
      </c>
      <c r="E89" t="s">
        <v>3109</v>
      </c>
      <c r="F89" t="s">
        <v>2907</v>
      </c>
      <c r="G89" t="s">
        <v>3110</v>
      </c>
    </row>
    <row r="90" spans="1:7" ht="11.25" customHeight="1">
      <c r="A90" s="310" t="s">
        <v>16</v>
      </c>
      <c r="B90" t="s">
        <v>3107</v>
      </c>
      <c r="C90" t="s">
        <v>3108</v>
      </c>
      <c r="D90" t="s">
        <v>3111</v>
      </c>
      <c r="E90" t="s">
        <v>3112</v>
      </c>
      <c r="F90" t="s">
        <v>2907</v>
      </c>
      <c r="G90" t="s">
        <v>3113</v>
      </c>
    </row>
    <row r="91" spans="1:7" ht="11.25" customHeight="1">
      <c r="A91" s="310" t="s">
        <v>16</v>
      </c>
      <c r="B91" t="s">
        <v>3107</v>
      </c>
      <c r="C91" t="s">
        <v>3108</v>
      </c>
      <c r="D91" t="s">
        <v>3114</v>
      </c>
      <c r="E91" t="s">
        <v>3115</v>
      </c>
      <c r="F91" t="s">
        <v>2907</v>
      </c>
      <c r="G91" t="s">
        <v>3116</v>
      </c>
    </row>
    <row r="92" spans="1:7" ht="11.25" customHeight="1">
      <c r="A92" s="310" t="s">
        <v>16</v>
      </c>
      <c r="B92" t="s">
        <v>3107</v>
      </c>
      <c r="C92" t="s">
        <v>3108</v>
      </c>
      <c r="D92" t="s">
        <v>3117</v>
      </c>
      <c r="E92" t="s">
        <v>3118</v>
      </c>
      <c r="F92" t="s">
        <v>2907</v>
      </c>
      <c r="G92" t="s">
        <v>3119</v>
      </c>
    </row>
    <row r="93" spans="1:7" ht="11.25" customHeight="1">
      <c r="A93" s="310" t="s">
        <v>16</v>
      </c>
      <c r="B93" t="s">
        <v>3107</v>
      </c>
      <c r="C93" t="s">
        <v>3108</v>
      </c>
      <c r="D93" t="s">
        <v>3120</v>
      </c>
      <c r="E93" t="s">
        <v>3121</v>
      </c>
      <c r="F93" t="s">
        <v>2907</v>
      </c>
      <c r="G93" t="s">
        <v>3122</v>
      </c>
    </row>
    <row r="94" spans="1:7" ht="11.25" customHeight="1">
      <c r="A94" s="310" t="s">
        <v>16</v>
      </c>
      <c r="B94" t="s">
        <v>3107</v>
      </c>
      <c r="C94" t="s">
        <v>3108</v>
      </c>
      <c r="D94" t="s">
        <v>3107</v>
      </c>
      <c r="E94" t="s">
        <v>3108</v>
      </c>
      <c r="F94" t="s">
        <v>2908</v>
      </c>
      <c r="G94" t="s">
        <v>3123</v>
      </c>
    </row>
    <row r="95" spans="1:7" ht="11.25" customHeight="1">
      <c r="A95" s="310" t="s">
        <v>16</v>
      </c>
      <c r="B95" t="s">
        <v>3107</v>
      </c>
      <c r="C95" t="s">
        <v>3108</v>
      </c>
      <c r="D95" t="s">
        <v>3124</v>
      </c>
      <c r="E95" t="s">
        <v>3125</v>
      </c>
      <c r="F95" t="s">
        <v>2907</v>
      </c>
      <c r="G95" t="s">
        <v>3126</v>
      </c>
    </row>
    <row r="96" spans="1:7" ht="11.25" customHeight="1">
      <c r="A96" s="310" t="s">
        <v>16</v>
      </c>
      <c r="B96" t="s">
        <v>3107</v>
      </c>
      <c r="C96" t="s">
        <v>3108</v>
      </c>
      <c r="D96" t="s">
        <v>3127</v>
      </c>
      <c r="E96" t="s">
        <v>3128</v>
      </c>
      <c r="F96" t="s">
        <v>2907</v>
      </c>
      <c r="G96" t="s">
        <v>3129</v>
      </c>
    </row>
    <row r="97" spans="1:7" ht="11.25" customHeight="1">
      <c r="A97" s="310" t="s">
        <v>16</v>
      </c>
      <c r="B97" t="s">
        <v>3107</v>
      </c>
      <c r="C97" t="s">
        <v>3108</v>
      </c>
      <c r="D97" t="s">
        <v>3130</v>
      </c>
      <c r="E97" t="s">
        <v>3131</v>
      </c>
      <c r="F97" t="s">
        <v>2907</v>
      </c>
      <c r="G97" t="s">
        <v>3132</v>
      </c>
    </row>
    <row r="98" spans="1:7" ht="11.25" customHeight="1">
      <c r="A98" s="310" t="s">
        <v>16</v>
      </c>
      <c r="B98" t="s">
        <v>3107</v>
      </c>
      <c r="C98" t="s">
        <v>3108</v>
      </c>
      <c r="D98" t="s">
        <v>3133</v>
      </c>
      <c r="E98" t="s">
        <v>3134</v>
      </c>
      <c r="F98" t="s">
        <v>2907</v>
      </c>
      <c r="G98" t="s">
        <v>3135</v>
      </c>
    </row>
    <row r="99" spans="1:7" ht="11.25" customHeight="1">
      <c r="A99" s="310" t="s">
        <v>16</v>
      </c>
      <c r="B99" t="s">
        <v>3107</v>
      </c>
      <c r="C99" t="s">
        <v>3108</v>
      </c>
      <c r="D99" t="s">
        <v>3136</v>
      </c>
      <c r="E99" t="s">
        <v>3137</v>
      </c>
      <c r="F99" t="s">
        <v>2907</v>
      </c>
      <c r="G99" t="s">
        <v>3138</v>
      </c>
    </row>
    <row r="100" spans="1:7" ht="11.25" customHeight="1">
      <c r="A100" s="310" t="s">
        <v>16</v>
      </c>
      <c r="B100" t="s">
        <v>3107</v>
      </c>
      <c r="C100" t="s">
        <v>3108</v>
      </c>
      <c r="D100" t="s">
        <v>3139</v>
      </c>
      <c r="E100" t="s">
        <v>3140</v>
      </c>
      <c r="F100" t="s">
        <v>2907</v>
      </c>
      <c r="G100" t="s">
        <v>3141</v>
      </c>
    </row>
    <row r="101" spans="1:7" ht="11.25" customHeight="1">
      <c r="A101" s="310" t="s">
        <v>16</v>
      </c>
      <c r="B101" t="s">
        <v>3107</v>
      </c>
      <c r="C101" t="s">
        <v>3108</v>
      </c>
      <c r="D101" t="s">
        <v>3142</v>
      </c>
      <c r="E101" t="s">
        <v>3143</v>
      </c>
      <c r="F101" t="s">
        <v>2907</v>
      </c>
      <c r="G101" t="s">
        <v>3144</v>
      </c>
    </row>
    <row r="102" spans="1:7" ht="11.25" customHeight="1">
      <c r="A102" s="310" t="s">
        <v>16</v>
      </c>
      <c r="B102" t="s">
        <v>3107</v>
      </c>
      <c r="C102" t="s">
        <v>3108</v>
      </c>
      <c r="D102" t="s">
        <v>3145</v>
      </c>
      <c r="E102" t="s">
        <v>3146</v>
      </c>
      <c r="F102" t="s">
        <v>2907</v>
      </c>
      <c r="G102" t="s">
        <v>3147</v>
      </c>
    </row>
    <row r="103" spans="1:7" ht="11.25" customHeight="1">
      <c r="A103" s="310" t="s">
        <v>16</v>
      </c>
      <c r="B103" t="s">
        <v>3107</v>
      </c>
      <c r="C103" t="s">
        <v>3108</v>
      </c>
      <c r="D103" t="s">
        <v>3148</v>
      </c>
      <c r="E103" t="s">
        <v>3149</v>
      </c>
      <c r="F103" t="s">
        <v>2977</v>
      </c>
      <c r="G103" t="s">
        <v>3150</v>
      </c>
    </row>
    <row r="104" spans="1:7" ht="11.25" customHeight="1">
      <c r="A104" s="310" t="s">
        <v>16</v>
      </c>
      <c r="B104" t="s">
        <v>3107</v>
      </c>
      <c r="C104" t="s">
        <v>3108</v>
      </c>
      <c r="D104" t="s">
        <v>3151</v>
      </c>
      <c r="E104" t="s">
        <v>3152</v>
      </c>
      <c r="F104" t="s">
        <v>2977</v>
      </c>
      <c r="G104" t="s">
        <v>3153</v>
      </c>
    </row>
    <row r="105" spans="1:7" ht="11.25" customHeight="1">
      <c r="A105" s="310" t="s">
        <v>16</v>
      </c>
      <c r="B105" t="s">
        <v>3107</v>
      </c>
      <c r="C105" t="s">
        <v>3108</v>
      </c>
      <c r="D105" t="s">
        <v>3154</v>
      </c>
      <c r="E105" t="s">
        <v>3155</v>
      </c>
      <c r="F105" t="s">
        <v>2977</v>
      </c>
      <c r="G105" t="s">
        <v>3156</v>
      </c>
    </row>
    <row r="106" spans="1:7" ht="11.25" customHeight="1">
      <c r="A106" s="310" t="s">
        <v>16</v>
      </c>
      <c r="B106" t="s">
        <v>3157</v>
      </c>
      <c r="C106" t="s">
        <v>3158</v>
      </c>
      <c r="D106" t="s">
        <v>3159</v>
      </c>
      <c r="E106" t="s">
        <v>3160</v>
      </c>
      <c r="F106" t="s">
        <v>2907</v>
      </c>
      <c r="G106" t="s">
        <v>3161</v>
      </c>
    </row>
    <row r="107" spans="1:7" ht="11.25" customHeight="1">
      <c r="A107" s="310" t="s">
        <v>16</v>
      </c>
      <c r="B107" t="s">
        <v>3157</v>
      </c>
      <c r="C107" t="s">
        <v>3158</v>
      </c>
      <c r="D107" t="s">
        <v>3162</v>
      </c>
      <c r="E107" t="s">
        <v>3163</v>
      </c>
      <c r="F107" t="s">
        <v>2907</v>
      </c>
      <c r="G107" t="s">
        <v>3164</v>
      </c>
    </row>
    <row r="108" spans="1:7" ht="11.25" customHeight="1">
      <c r="A108" s="310" t="s">
        <v>16</v>
      </c>
      <c r="B108" t="s">
        <v>3157</v>
      </c>
      <c r="C108" t="s">
        <v>3158</v>
      </c>
      <c r="D108" t="s">
        <v>3165</v>
      </c>
      <c r="E108" t="s">
        <v>3166</v>
      </c>
      <c r="F108" t="s">
        <v>2907</v>
      </c>
      <c r="G108" t="s">
        <v>3167</v>
      </c>
    </row>
    <row r="109" spans="1:7" ht="11.25" customHeight="1">
      <c r="A109" s="310" t="s">
        <v>16</v>
      </c>
      <c r="B109" t="s">
        <v>3157</v>
      </c>
      <c r="C109" t="s">
        <v>3158</v>
      </c>
      <c r="D109" t="s">
        <v>3157</v>
      </c>
      <c r="E109" t="s">
        <v>3158</v>
      </c>
      <c r="F109" t="s">
        <v>2908</v>
      </c>
      <c r="G109" t="s">
        <v>3168</v>
      </c>
    </row>
    <row r="110" spans="1:7" ht="11.25" customHeight="1">
      <c r="A110" s="310" t="s">
        <v>16</v>
      </c>
      <c r="B110" t="s">
        <v>3157</v>
      </c>
      <c r="C110" t="s">
        <v>3158</v>
      </c>
      <c r="D110" t="s">
        <v>3169</v>
      </c>
      <c r="E110" t="s">
        <v>3170</v>
      </c>
      <c r="F110" t="s">
        <v>2907</v>
      </c>
      <c r="G110" t="s">
        <v>3171</v>
      </c>
    </row>
    <row r="111" spans="1:7" ht="11.25" customHeight="1">
      <c r="A111" s="310" t="s">
        <v>16</v>
      </c>
      <c r="B111" t="s">
        <v>3157</v>
      </c>
      <c r="C111" t="s">
        <v>3158</v>
      </c>
      <c r="D111" t="s">
        <v>3172</v>
      </c>
      <c r="E111" t="s">
        <v>3173</v>
      </c>
      <c r="F111" t="s">
        <v>2907</v>
      </c>
      <c r="G111" t="s">
        <v>3174</v>
      </c>
    </row>
    <row r="112" spans="1:7" ht="11.25" customHeight="1">
      <c r="A112" s="310" t="s">
        <v>16</v>
      </c>
      <c r="B112" t="s">
        <v>3157</v>
      </c>
      <c r="C112" t="s">
        <v>3158</v>
      </c>
      <c r="D112" t="s">
        <v>3175</v>
      </c>
      <c r="E112" t="s">
        <v>3176</v>
      </c>
      <c r="F112" t="s">
        <v>2907</v>
      </c>
      <c r="G112" t="s">
        <v>3177</v>
      </c>
    </row>
    <row r="113" spans="1:7" ht="11.25" customHeight="1">
      <c r="A113" s="310" t="s">
        <v>16</v>
      </c>
      <c r="B113" t="s">
        <v>3157</v>
      </c>
      <c r="C113" t="s">
        <v>3158</v>
      </c>
      <c r="D113" t="s">
        <v>3178</v>
      </c>
      <c r="E113" t="s">
        <v>3179</v>
      </c>
      <c r="F113" t="s">
        <v>2907</v>
      </c>
      <c r="G113" t="s">
        <v>3180</v>
      </c>
    </row>
    <row r="114" spans="1:7" ht="11.25" customHeight="1">
      <c r="A114" s="310" t="s">
        <v>16</v>
      </c>
      <c r="B114" t="s">
        <v>3157</v>
      </c>
      <c r="C114" t="s">
        <v>3158</v>
      </c>
      <c r="D114" t="s">
        <v>3181</v>
      </c>
      <c r="E114" t="s">
        <v>3182</v>
      </c>
      <c r="F114" t="s">
        <v>2907</v>
      </c>
      <c r="G114" t="s">
        <v>3183</v>
      </c>
    </row>
    <row r="115" spans="1:7" ht="11.25" customHeight="1">
      <c r="A115" s="310" t="s">
        <v>16</v>
      </c>
      <c r="B115" t="s">
        <v>3157</v>
      </c>
      <c r="C115" t="s">
        <v>3158</v>
      </c>
      <c r="D115" t="s">
        <v>3184</v>
      </c>
      <c r="E115" t="s">
        <v>3185</v>
      </c>
      <c r="F115" t="s">
        <v>2907</v>
      </c>
      <c r="G115" t="s">
        <v>3186</v>
      </c>
    </row>
    <row r="116" spans="1:7" ht="11.25" customHeight="1">
      <c r="A116" s="310" t="s">
        <v>16</v>
      </c>
      <c r="B116" t="s">
        <v>3157</v>
      </c>
      <c r="C116" t="s">
        <v>3158</v>
      </c>
      <c r="D116" t="s">
        <v>3187</v>
      </c>
      <c r="E116" t="s">
        <v>3188</v>
      </c>
      <c r="F116" t="s">
        <v>2977</v>
      </c>
      <c r="G116" t="s">
        <v>3189</v>
      </c>
    </row>
    <row r="117" spans="1:7" ht="11.25" customHeight="1">
      <c r="A117" s="310" t="s">
        <v>16</v>
      </c>
      <c r="B117" t="s">
        <v>3190</v>
      </c>
      <c r="C117" t="s">
        <v>3191</v>
      </c>
      <c r="D117" t="s">
        <v>3192</v>
      </c>
      <c r="E117" t="s">
        <v>3193</v>
      </c>
      <c r="F117" t="s">
        <v>2907</v>
      </c>
      <c r="G117" t="s">
        <v>3194</v>
      </c>
    </row>
    <row r="118" spans="1:7" ht="11.25" customHeight="1">
      <c r="A118" s="310" t="s">
        <v>16</v>
      </c>
      <c r="B118" t="s">
        <v>3190</v>
      </c>
      <c r="C118" t="s">
        <v>3191</v>
      </c>
      <c r="D118" t="s">
        <v>3195</v>
      </c>
      <c r="E118" t="s">
        <v>3196</v>
      </c>
      <c r="F118" t="s">
        <v>2907</v>
      </c>
      <c r="G118" t="s">
        <v>3197</v>
      </c>
    </row>
    <row r="119" spans="1:7" ht="11.25" customHeight="1">
      <c r="A119" s="310" t="s">
        <v>16</v>
      </c>
      <c r="B119" t="s">
        <v>3190</v>
      </c>
      <c r="C119" t="s">
        <v>3191</v>
      </c>
      <c r="D119" t="s">
        <v>3190</v>
      </c>
      <c r="E119" t="s">
        <v>3191</v>
      </c>
      <c r="F119" t="s">
        <v>2908</v>
      </c>
      <c r="G119" t="s">
        <v>3198</v>
      </c>
    </row>
    <row r="120" spans="1:7" ht="11.25" customHeight="1">
      <c r="A120" s="310" t="s">
        <v>16</v>
      </c>
      <c r="B120" t="s">
        <v>3190</v>
      </c>
      <c r="C120" t="s">
        <v>3191</v>
      </c>
      <c r="D120" t="s">
        <v>3199</v>
      </c>
      <c r="E120" t="s">
        <v>3200</v>
      </c>
      <c r="F120" t="s">
        <v>2907</v>
      </c>
      <c r="G120" t="s">
        <v>3201</v>
      </c>
    </row>
    <row r="121" spans="1:7" ht="11.25" customHeight="1">
      <c r="A121" s="310" t="s">
        <v>16</v>
      </c>
      <c r="B121" t="s">
        <v>3190</v>
      </c>
      <c r="C121" t="s">
        <v>3191</v>
      </c>
      <c r="D121" t="s">
        <v>2941</v>
      </c>
      <c r="E121" t="s">
        <v>3202</v>
      </c>
      <c r="F121" t="s">
        <v>2907</v>
      </c>
      <c r="G121" t="s">
        <v>3203</v>
      </c>
    </row>
    <row r="122" spans="1:7" ht="11.25" customHeight="1">
      <c r="A122" s="310" t="s">
        <v>16</v>
      </c>
      <c r="B122" t="s">
        <v>3190</v>
      </c>
      <c r="C122" t="s">
        <v>3191</v>
      </c>
      <c r="D122" t="s">
        <v>3204</v>
      </c>
      <c r="E122" t="s">
        <v>3205</v>
      </c>
      <c r="F122" t="s">
        <v>2907</v>
      </c>
      <c r="G122" t="s">
        <v>3206</v>
      </c>
    </row>
    <row r="123" spans="1:7" ht="11.25" customHeight="1">
      <c r="A123" s="310" t="s">
        <v>16</v>
      </c>
      <c r="B123" t="s">
        <v>3190</v>
      </c>
      <c r="C123" t="s">
        <v>3191</v>
      </c>
      <c r="D123" t="s">
        <v>3207</v>
      </c>
      <c r="E123" t="s">
        <v>3208</v>
      </c>
      <c r="F123" t="s">
        <v>2907</v>
      </c>
      <c r="G123" t="s">
        <v>3209</v>
      </c>
    </row>
    <row r="124" spans="1:7" ht="11.25" customHeight="1">
      <c r="A124" s="310" t="s">
        <v>16</v>
      </c>
      <c r="B124" t="s">
        <v>3190</v>
      </c>
      <c r="C124" t="s">
        <v>3191</v>
      </c>
      <c r="D124" t="s">
        <v>3210</v>
      </c>
      <c r="E124" t="s">
        <v>3211</v>
      </c>
      <c r="F124" t="s">
        <v>2907</v>
      </c>
      <c r="G124" t="s">
        <v>3212</v>
      </c>
    </row>
    <row r="125" spans="1:7" ht="11.25" customHeight="1">
      <c r="A125" s="310" t="s">
        <v>16</v>
      </c>
      <c r="B125" t="s">
        <v>3190</v>
      </c>
      <c r="C125" t="s">
        <v>3191</v>
      </c>
      <c r="D125" t="s">
        <v>3213</v>
      </c>
      <c r="E125" t="s">
        <v>3214</v>
      </c>
      <c r="F125" t="s">
        <v>2907</v>
      </c>
      <c r="G125" t="s">
        <v>3215</v>
      </c>
    </row>
    <row r="126" spans="1:7" ht="11.25" customHeight="1">
      <c r="A126" s="310" t="s">
        <v>16</v>
      </c>
      <c r="B126" t="s">
        <v>3190</v>
      </c>
      <c r="C126" t="s">
        <v>3191</v>
      </c>
      <c r="D126" t="s">
        <v>3216</v>
      </c>
      <c r="E126" t="s">
        <v>3217</v>
      </c>
      <c r="F126" t="s">
        <v>2907</v>
      </c>
      <c r="G126" t="s">
        <v>3218</v>
      </c>
    </row>
    <row r="127" spans="1:7" ht="11.25" customHeight="1">
      <c r="A127" s="310" t="s">
        <v>16</v>
      </c>
      <c r="B127" t="s">
        <v>3190</v>
      </c>
      <c r="C127" t="s">
        <v>3191</v>
      </c>
      <c r="D127" t="s">
        <v>3219</v>
      </c>
      <c r="E127" t="s">
        <v>3220</v>
      </c>
      <c r="F127" t="s">
        <v>2977</v>
      </c>
      <c r="G127" t="s">
        <v>3221</v>
      </c>
    </row>
    <row r="128" spans="1:7" ht="11.25" customHeight="1">
      <c r="A128" s="310" t="s">
        <v>16</v>
      </c>
      <c r="B128" t="s">
        <v>3222</v>
      </c>
      <c r="C128" t="s">
        <v>3223</v>
      </c>
      <c r="D128" t="s">
        <v>3224</v>
      </c>
      <c r="E128" t="s">
        <v>3225</v>
      </c>
      <c r="F128" t="s">
        <v>2907</v>
      </c>
      <c r="G128" t="s">
        <v>3226</v>
      </c>
    </row>
    <row r="129" spans="1:7" ht="11.25" customHeight="1">
      <c r="A129" s="310" t="s">
        <v>16</v>
      </c>
      <c r="B129" t="s">
        <v>3222</v>
      </c>
      <c r="C129" t="s">
        <v>3223</v>
      </c>
      <c r="D129" t="s">
        <v>3227</v>
      </c>
      <c r="E129" t="s">
        <v>3228</v>
      </c>
      <c r="F129" t="s">
        <v>2907</v>
      </c>
      <c r="G129" t="s">
        <v>3229</v>
      </c>
    </row>
    <row r="130" spans="1:7" ht="11.25" customHeight="1">
      <c r="A130" s="310" t="s">
        <v>16</v>
      </c>
      <c r="B130" t="s">
        <v>3222</v>
      </c>
      <c r="C130" t="s">
        <v>3223</v>
      </c>
      <c r="D130" t="s">
        <v>3230</v>
      </c>
      <c r="E130" t="s">
        <v>3231</v>
      </c>
      <c r="F130" t="s">
        <v>2907</v>
      </c>
      <c r="G130" t="s">
        <v>3232</v>
      </c>
    </row>
    <row r="131" spans="1:7" ht="11.25" customHeight="1">
      <c r="A131" s="310" t="s">
        <v>16</v>
      </c>
      <c r="B131" t="s">
        <v>3222</v>
      </c>
      <c r="C131" t="s">
        <v>3223</v>
      </c>
      <c r="D131" t="s">
        <v>3233</v>
      </c>
      <c r="E131" t="s">
        <v>3234</v>
      </c>
      <c r="F131" t="s">
        <v>2907</v>
      </c>
      <c r="G131" t="s">
        <v>3235</v>
      </c>
    </row>
    <row r="132" spans="1:7" ht="11.25" customHeight="1">
      <c r="A132" s="310" t="s">
        <v>16</v>
      </c>
      <c r="B132" t="s">
        <v>3222</v>
      </c>
      <c r="C132" t="s">
        <v>3223</v>
      </c>
      <c r="D132" t="s">
        <v>3236</v>
      </c>
      <c r="E132" t="s">
        <v>3237</v>
      </c>
      <c r="F132" t="s">
        <v>2907</v>
      </c>
      <c r="G132" t="s">
        <v>3238</v>
      </c>
    </row>
    <row r="133" spans="1:7" ht="11.25" customHeight="1">
      <c r="A133" s="310" t="s">
        <v>16</v>
      </c>
      <c r="B133" t="s">
        <v>3222</v>
      </c>
      <c r="C133" t="s">
        <v>3223</v>
      </c>
      <c r="D133" t="s">
        <v>3239</v>
      </c>
      <c r="E133" t="s">
        <v>3240</v>
      </c>
      <c r="F133" t="s">
        <v>2907</v>
      </c>
      <c r="G133" t="s">
        <v>3241</v>
      </c>
    </row>
    <row r="134" spans="1:7" ht="11.25" customHeight="1">
      <c r="A134" s="310" t="s">
        <v>16</v>
      </c>
      <c r="B134" t="s">
        <v>3222</v>
      </c>
      <c r="C134" t="s">
        <v>3223</v>
      </c>
      <c r="D134" t="s">
        <v>3222</v>
      </c>
      <c r="E134" t="s">
        <v>3223</v>
      </c>
      <c r="F134" t="s">
        <v>2908</v>
      </c>
      <c r="G134" t="s">
        <v>3242</v>
      </c>
    </row>
    <row r="135" spans="1:7" ht="11.25" customHeight="1">
      <c r="A135" s="310" t="s">
        <v>16</v>
      </c>
      <c r="B135" t="s">
        <v>3222</v>
      </c>
      <c r="C135" t="s">
        <v>3223</v>
      </c>
      <c r="D135" t="s">
        <v>3243</v>
      </c>
      <c r="E135" t="s">
        <v>3244</v>
      </c>
      <c r="F135" t="s">
        <v>2907</v>
      </c>
      <c r="G135" t="s">
        <v>3245</v>
      </c>
    </row>
    <row r="136" spans="1:7" ht="11.25" customHeight="1">
      <c r="A136" s="310" t="s">
        <v>16</v>
      </c>
      <c r="B136" t="s">
        <v>3222</v>
      </c>
      <c r="C136" t="s">
        <v>3223</v>
      </c>
      <c r="D136" t="s">
        <v>3246</v>
      </c>
      <c r="E136" t="s">
        <v>3247</v>
      </c>
      <c r="F136" t="s">
        <v>2907</v>
      </c>
      <c r="G136" t="s">
        <v>3248</v>
      </c>
    </row>
    <row r="137" spans="1:7" ht="11.25" customHeight="1">
      <c r="A137" s="310" t="s">
        <v>16</v>
      </c>
      <c r="B137" t="s">
        <v>3222</v>
      </c>
      <c r="C137" t="s">
        <v>3223</v>
      </c>
      <c r="D137" t="s">
        <v>3249</v>
      </c>
      <c r="E137" t="s">
        <v>3250</v>
      </c>
      <c r="F137" t="s">
        <v>2907</v>
      </c>
      <c r="G137" t="s">
        <v>3251</v>
      </c>
    </row>
    <row r="138" spans="1:7" ht="11.25" customHeight="1">
      <c r="A138" s="310" t="s">
        <v>16</v>
      </c>
      <c r="B138" t="s">
        <v>3222</v>
      </c>
      <c r="C138" t="s">
        <v>3223</v>
      </c>
      <c r="D138" t="s">
        <v>3252</v>
      </c>
      <c r="E138" t="s">
        <v>3253</v>
      </c>
      <c r="F138" t="s">
        <v>2907</v>
      </c>
      <c r="G138" t="s">
        <v>3254</v>
      </c>
    </row>
    <row r="139" spans="1:7" ht="11.25" customHeight="1">
      <c r="A139" s="310" t="s">
        <v>16</v>
      </c>
      <c r="B139" t="s">
        <v>3222</v>
      </c>
      <c r="C139" t="s">
        <v>3223</v>
      </c>
      <c r="D139" t="s">
        <v>3255</v>
      </c>
      <c r="E139" t="s">
        <v>3256</v>
      </c>
      <c r="F139" t="s">
        <v>2907</v>
      </c>
      <c r="G139" t="s">
        <v>3257</v>
      </c>
    </row>
    <row r="140" spans="1:7" ht="11.25" customHeight="1">
      <c r="A140" s="310" t="s">
        <v>16</v>
      </c>
      <c r="B140" t="s">
        <v>3222</v>
      </c>
      <c r="C140" t="s">
        <v>3223</v>
      </c>
      <c r="D140" t="s">
        <v>3258</v>
      </c>
      <c r="E140" t="s">
        <v>3259</v>
      </c>
      <c r="F140" t="s">
        <v>2907</v>
      </c>
      <c r="G140" t="s">
        <v>3260</v>
      </c>
    </row>
    <row r="141" spans="1:7" ht="11.25" customHeight="1">
      <c r="A141" s="310" t="s">
        <v>16</v>
      </c>
      <c r="B141" t="s">
        <v>3222</v>
      </c>
      <c r="C141" t="s">
        <v>3223</v>
      </c>
      <c r="D141" t="s">
        <v>3261</v>
      </c>
      <c r="E141" t="s">
        <v>3262</v>
      </c>
      <c r="F141" t="s">
        <v>2907</v>
      </c>
      <c r="G141" t="s">
        <v>3263</v>
      </c>
    </row>
    <row r="142" spans="1:7" ht="11.25" customHeight="1">
      <c r="A142" s="310" t="s">
        <v>16</v>
      </c>
      <c r="B142" t="s">
        <v>3222</v>
      </c>
      <c r="C142" t="s">
        <v>3223</v>
      </c>
      <c r="D142" t="s">
        <v>3264</v>
      </c>
      <c r="E142" t="s">
        <v>3265</v>
      </c>
      <c r="F142" t="s">
        <v>2907</v>
      </c>
      <c r="G142" t="s">
        <v>3266</v>
      </c>
    </row>
    <row r="143" spans="1:7" ht="11.25" customHeight="1">
      <c r="A143" s="310" t="s">
        <v>16</v>
      </c>
      <c r="B143" t="s">
        <v>3222</v>
      </c>
      <c r="C143" t="s">
        <v>3223</v>
      </c>
      <c r="D143" t="s">
        <v>3062</v>
      </c>
      <c r="E143" t="s">
        <v>3267</v>
      </c>
      <c r="F143" t="s">
        <v>2907</v>
      </c>
      <c r="G143" t="s">
        <v>3268</v>
      </c>
    </row>
    <row r="144" spans="1:7" ht="11.25" customHeight="1">
      <c r="A144" s="310" t="s">
        <v>16</v>
      </c>
      <c r="B144" t="s">
        <v>3222</v>
      </c>
      <c r="C144" t="s">
        <v>3223</v>
      </c>
      <c r="D144" t="s">
        <v>3269</v>
      </c>
      <c r="E144" t="s">
        <v>3270</v>
      </c>
      <c r="F144" t="s">
        <v>2907</v>
      </c>
      <c r="G144" t="s">
        <v>3271</v>
      </c>
    </row>
    <row r="145" spans="1:7" ht="11.25" customHeight="1">
      <c r="A145" s="310" t="s">
        <v>16</v>
      </c>
      <c r="B145" t="s">
        <v>3222</v>
      </c>
      <c r="C145" t="s">
        <v>3223</v>
      </c>
      <c r="D145" t="s">
        <v>3272</v>
      </c>
      <c r="E145" t="s">
        <v>3273</v>
      </c>
      <c r="F145" t="s">
        <v>2907</v>
      </c>
      <c r="G145" t="s">
        <v>3274</v>
      </c>
    </row>
    <row r="146" spans="1:7" ht="11.25" customHeight="1">
      <c r="A146" s="310" t="s">
        <v>16</v>
      </c>
      <c r="B146" t="s">
        <v>3275</v>
      </c>
      <c r="C146" t="s">
        <v>3276</v>
      </c>
      <c r="D146" t="s">
        <v>3277</v>
      </c>
      <c r="E146" t="s">
        <v>3278</v>
      </c>
      <c r="F146" t="s">
        <v>2907</v>
      </c>
      <c r="G146" t="s">
        <v>3279</v>
      </c>
    </row>
    <row r="147" spans="1:7" ht="11.25" customHeight="1">
      <c r="A147" s="310" t="s">
        <v>16</v>
      </c>
      <c r="B147" t="s">
        <v>3275</v>
      </c>
      <c r="C147" t="s">
        <v>3276</v>
      </c>
      <c r="D147" t="s">
        <v>3280</v>
      </c>
      <c r="E147" t="s">
        <v>3281</v>
      </c>
      <c r="F147" t="s">
        <v>2907</v>
      </c>
      <c r="G147" t="s">
        <v>3282</v>
      </c>
    </row>
    <row r="148" spans="1:7" ht="11.25" customHeight="1">
      <c r="A148" s="310" t="s">
        <v>16</v>
      </c>
      <c r="B148" t="s">
        <v>3275</v>
      </c>
      <c r="C148" t="s">
        <v>3276</v>
      </c>
      <c r="D148" t="s">
        <v>3283</v>
      </c>
      <c r="E148" t="s">
        <v>3284</v>
      </c>
      <c r="F148" t="s">
        <v>2907</v>
      </c>
      <c r="G148" t="s">
        <v>3285</v>
      </c>
    </row>
    <row r="149" spans="1:7" ht="11.25" customHeight="1">
      <c r="A149" s="310" t="s">
        <v>16</v>
      </c>
      <c r="B149" t="s">
        <v>3275</v>
      </c>
      <c r="C149" t="s">
        <v>3276</v>
      </c>
      <c r="D149" t="s">
        <v>3286</v>
      </c>
      <c r="E149" t="s">
        <v>3287</v>
      </c>
      <c r="F149" t="s">
        <v>2907</v>
      </c>
      <c r="G149" t="s">
        <v>3288</v>
      </c>
    </row>
    <row r="150" spans="1:7" ht="11.25" customHeight="1">
      <c r="A150" s="310" t="s">
        <v>16</v>
      </c>
      <c r="B150" t="s">
        <v>3275</v>
      </c>
      <c r="C150" t="s">
        <v>3276</v>
      </c>
      <c r="D150" t="s">
        <v>3275</v>
      </c>
      <c r="E150" t="s">
        <v>3276</v>
      </c>
      <c r="F150" t="s">
        <v>2908</v>
      </c>
      <c r="G150" t="s">
        <v>3289</v>
      </c>
    </row>
    <row r="151" spans="1:7" ht="11.25" customHeight="1">
      <c r="A151" s="310" t="s">
        <v>16</v>
      </c>
      <c r="B151" t="s">
        <v>3275</v>
      </c>
      <c r="C151" t="s">
        <v>3276</v>
      </c>
      <c r="D151" t="s">
        <v>3290</v>
      </c>
      <c r="E151" t="s">
        <v>3291</v>
      </c>
      <c r="F151" t="s">
        <v>2907</v>
      </c>
      <c r="G151" t="s">
        <v>3292</v>
      </c>
    </row>
    <row r="152" spans="1:7" ht="11.25" customHeight="1">
      <c r="A152" s="310" t="s">
        <v>16</v>
      </c>
      <c r="B152" t="s">
        <v>3275</v>
      </c>
      <c r="C152" t="s">
        <v>3276</v>
      </c>
      <c r="D152" t="s">
        <v>3293</v>
      </c>
      <c r="E152" t="s">
        <v>3294</v>
      </c>
      <c r="F152" t="s">
        <v>2907</v>
      </c>
      <c r="G152" t="s">
        <v>3295</v>
      </c>
    </row>
    <row r="153" spans="1:7" ht="11.25" customHeight="1">
      <c r="A153" s="310" t="s">
        <v>16</v>
      </c>
      <c r="B153" t="s">
        <v>3275</v>
      </c>
      <c r="C153" t="s">
        <v>3276</v>
      </c>
      <c r="D153" t="s">
        <v>3296</v>
      </c>
      <c r="E153" t="s">
        <v>3297</v>
      </c>
      <c r="F153" t="s">
        <v>2977</v>
      </c>
      <c r="G153" t="s">
        <v>3298</v>
      </c>
    </row>
    <row r="154" spans="1:7" ht="11.25" customHeight="1">
      <c r="A154" s="310" t="s">
        <v>16</v>
      </c>
      <c r="B154" t="s">
        <v>3275</v>
      </c>
      <c r="C154" t="s">
        <v>3276</v>
      </c>
      <c r="D154" t="s">
        <v>3299</v>
      </c>
      <c r="E154" t="s">
        <v>3300</v>
      </c>
      <c r="F154" t="s">
        <v>2977</v>
      </c>
      <c r="G154" t="s">
        <v>3301</v>
      </c>
    </row>
    <row r="155" spans="1:7" ht="11.25" customHeight="1">
      <c r="A155" s="310" t="s">
        <v>16</v>
      </c>
      <c r="B155" t="s">
        <v>3302</v>
      </c>
      <c r="C155" t="s">
        <v>3303</v>
      </c>
      <c r="D155" t="s">
        <v>3304</v>
      </c>
      <c r="E155" t="s">
        <v>3305</v>
      </c>
      <c r="F155" t="s">
        <v>2907</v>
      </c>
      <c r="G155" t="s">
        <v>3306</v>
      </c>
    </row>
    <row r="156" spans="1:7" ht="11.25" customHeight="1">
      <c r="A156" s="310" t="s">
        <v>16</v>
      </c>
      <c r="B156" t="s">
        <v>3302</v>
      </c>
      <c r="C156" t="s">
        <v>3303</v>
      </c>
      <c r="D156" t="s">
        <v>3307</v>
      </c>
      <c r="E156" t="s">
        <v>3308</v>
      </c>
      <c r="F156" t="s">
        <v>2907</v>
      </c>
      <c r="G156" t="s">
        <v>3309</v>
      </c>
    </row>
    <row r="157" spans="1:7" ht="11.25" customHeight="1">
      <c r="A157" s="310" t="s">
        <v>16</v>
      </c>
      <c r="B157" t="s">
        <v>3302</v>
      </c>
      <c r="C157" t="s">
        <v>3303</v>
      </c>
      <c r="D157" t="s">
        <v>3310</v>
      </c>
      <c r="E157" t="s">
        <v>3311</v>
      </c>
      <c r="F157" t="s">
        <v>2907</v>
      </c>
      <c r="G157" t="s">
        <v>3312</v>
      </c>
    </row>
    <row r="158" spans="1:7" ht="11.25" customHeight="1">
      <c r="A158" s="310" t="s">
        <v>16</v>
      </c>
      <c r="B158" t="s">
        <v>3302</v>
      </c>
      <c r="C158" t="s">
        <v>3303</v>
      </c>
      <c r="D158" t="s">
        <v>3313</v>
      </c>
      <c r="E158" t="s">
        <v>3314</v>
      </c>
      <c r="F158" t="s">
        <v>2907</v>
      </c>
      <c r="G158" t="s">
        <v>3315</v>
      </c>
    </row>
    <row r="159" spans="1:7" ht="11.25" customHeight="1">
      <c r="A159" s="310" t="s">
        <v>16</v>
      </c>
      <c r="B159" t="s">
        <v>3302</v>
      </c>
      <c r="C159" t="s">
        <v>3303</v>
      </c>
      <c r="D159" t="s">
        <v>3316</v>
      </c>
      <c r="E159" t="s">
        <v>3317</v>
      </c>
      <c r="F159" t="s">
        <v>2907</v>
      </c>
      <c r="G159" t="s">
        <v>3318</v>
      </c>
    </row>
    <row r="160" spans="1:7" ht="11.25" customHeight="1">
      <c r="A160" s="310" t="s">
        <v>16</v>
      </c>
      <c r="B160" t="s">
        <v>3302</v>
      </c>
      <c r="C160" t="s">
        <v>3303</v>
      </c>
      <c r="D160" t="s">
        <v>3319</v>
      </c>
      <c r="E160" t="s">
        <v>3320</v>
      </c>
      <c r="F160" t="s">
        <v>2907</v>
      </c>
      <c r="G160" t="s">
        <v>3321</v>
      </c>
    </row>
    <row r="161" spans="1:7" ht="11.25" customHeight="1">
      <c r="A161" s="310" t="s">
        <v>16</v>
      </c>
      <c r="B161" t="s">
        <v>3302</v>
      </c>
      <c r="C161" t="s">
        <v>3303</v>
      </c>
      <c r="D161" t="s">
        <v>3302</v>
      </c>
      <c r="E161" t="s">
        <v>3303</v>
      </c>
      <c r="F161" t="s">
        <v>2908</v>
      </c>
      <c r="G161" t="s">
        <v>3322</v>
      </c>
    </row>
    <row r="162" spans="1:7" ht="11.25" customHeight="1">
      <c r="A162" s="310" t="s">
        <v>16</v>
      </c>
      <c r="B162" t="s">
        <v>3302</v>
      </c>
      <c r="C162" t="s">
        <v>3303</v>
      </c>
      <c r="D162" t="s">
        <v>3323</v>
      </c>
      <c r="E162" t="s">
        <v>3324</v>
      </c>
      <c r="F162" t="s">
        <v>2907</v>
      </c>
      <c r="G162" t="s">
        <v>3325</v>
      </c>
    </row>
    <row r="163" spans="1:7" ht="11.25" customHeight="1">
      <c r="A163" s="310" t="s">
        <v>16</v>
      </c>
      <c r="B163" t="s">
        <v>3302</v>
      </c>
      <c r="C163" t="s">
        <v>3303</v>
      </c>
      <c r="D163" t="s">
        <v>3326</v>
      </c>
      <c r="E163" t="s">
        <v>3327</v>
      </c>
      <c r="F163" t="s">
        <v>2907</v>
      </c>
      <c r="G163" t="s">
        <v>3328</v>
      </c>
    </row>
    <row r="164" spans="1:7" ht="11.25" customHeight="1">
      <c r="A164" s="310" t="s">
        <v>16</v>
      </c>
      <c r="B164" t="s">
        <v>3329</v>
      </c>
      <c r="C164" t="s">
        <v>3330</v>
      </c>
      <c r="D164" t="s">
        <v>3331</v>
      </c>
      <c r="E164" t="s">
        <v>3332</v>
      </c>
      <c r="F164" t="s">
        <v>2907</v>
      </c>
      <c r="G164" t="s">
        <v>3333</v>
      </c>
    </row>
    <row r="165" spans="1:7" ht="11.25" customHeight="1">
      <c r="A165" s="310" t="s">
        <v>16</v>
      </c>
      <c r="B165" t="s">
        <v>3329</v>
      </c>
      <c r="C165" t="s">
        <v>3330</v>
      </c>
      <c r="D165" t="s">
        <v>3334</v>
      </c>
      <c r="E165" t="s">
        <v>3335</v>
      </c>
      <c r="F165" t="s">
        <v>2907</v>
      </c>
      <c r="G165" t="s">
        <v>3336</v>
      </c>
    </row>
    <row r="166" spans="1:7" ht="11.25" customHeight="1">
      <c r="A166" s="310" t="s">
        <v>16</v>
      </c>
      <c r="B166" t="s">
        <v>3329</v>
      </c>
      <c r="C166" t="s">
        <v>3330</v>
      </c>
      <c r="D166" t="s">
        <v>3329</v>
      </c>
      <c r="E166" t="s">
        <v>3330</v>
      </c>
      <c r="F166" t="s">
        <v>2908</v>
      </c>
      <c r="G166" t="s">
        <v>3337</v>
      </c>
    </row>
    <row r="167" spans="1:7" ht="11.25" customHeight="1">
      <c r="A167" s="310" t="s">
        <v>16</v>
      </c>
      <c r="B167" t="s">
        <v>3329</v>
      </c>
      <c r="C167" t="s">
        <v>3330</v>
      </c>
      <c r="D167" t="s">
        <v>3338</v>
      </c>
      <c r="E167" t="s">
        <v>3339</v>
      </c>
      <c r="F167" t="s">
        <v>2907</v>
      </c>
      <c r="G167" t="s">
        <v>3340</v>
      </c>
    </row>
    <row r="168" spans="1:7" ht="11.25" customHeight="1">
      <c r="A168" s="310" t="s">
        <v>16</v>
      </c>
      <c r="B168" t="s">
        <v>3329</v>
      </c>
      <c r="C168" t="s">
        <v>3330</v>
      </c>
      <c r="D168" t="s">
        <v>3341</v>
      </c>
      <c r="E168" t="s">
        <v>3342</v>
      </c>
      <c r="F168" t="s">
        <v>2907</v>
      </c>
      <c r="G168" t="s">
        <v>3343</v>
      </c>
    </row>
    <row r="169" spans="1:7" ht="11.25" customHeight="1">
      <c r="A169" s="310" t="s">
        <v>16</v>
      </c>
      <c r="B169" t="s">
        <v>3329</v>
      </c>
      <c r="C169" t="s">
        <v>3330</v>
      </c>
      <c r="D169" t="s">
        <v>3344</v>
      </c>
      <c r="E169" t="s">
        <v>3345</v>
      </c>
      <c r="F169" t="s">
        <v>2907</v>
      </c>
      <c r="G169" t="s">
        <v>3346</v>
      </c>
    </row>
    <row r="170" spans="1:7" ht="11.25" customHeight="1">
      <c r="A170" s="310" t="s">
        <v>16</v>
      </c>
      <c r="B170" t="s">
        <v>3329</v>
      </c>
      <c r="C170" t="s">
        <v>3330</v>
      </c>
      <c r="D170" t="s">
        <v>3347</v>
      </c>
      <c r="E170" t="s">
        <v>3348</v>
      </c>
      <c r="F170" t="s">
        <v>2907</v>
      </c>
      <c r="G170" t="s">
        <v>3349</v>
      </c>
    </row>
    <row r="171" spans="1:7" ht="11.25" customHeight="1">
      <c r="A171" s="310" t="s">
        <v>16</v>
      </c>
      <c r="B171" t="s">
        <v>3329</v>
      </c>
      <c r="C171" t="s">
        <v>3330</v>
      </c>
      <c r="D171" t="s">
        <v>3350</v>
      </c>
      <c r="E171" t="s">
        <v>3351</v>
      </c>
      <c r="F171" t="s">
        <v>2907</v>
      </c>
      <c r="G171" t="s">
        <v>3352</v>
      </c>
    </row>
    <row r="172" spans="1:7" ht="11.25" customHeight="1">
      <c r="A172" s="310" t="s">
        <v>16</v>
      </c>
      <c r="B172" t="s">
        <v>3353</v>
      </c>
      <c r="C172" t="s">
        <v>3354</v>
      </c>
      <c r="D172" t="s">
        <v>3355</v>
      </c>
      <c r="E172" t="s">
        <v>3356</v>
      </c>
      <c r="F172" t="s">
        <v>2907</v>
      </c>
      <c r="G172" t="s">
        <v>3357</v>
      </c>
    </row>
    <row r="173" spans="1:7" ht="11.25" customHeight="1">
      <c r="A173" s="310" t="s">
        <v>16</v>
      </c>
      <c r="B173" t="s">
        <v>3353</v>
      </c>
      <c r="C173" t="s">
        <v>3354</v>
      </c>
      <c r="D173" t="s">
        <v>3358</v>
      </c>
      <c r="E173" t="s">
        <v>3359</v>
      </c>
      <c r="F173" t="s">
        <v>2907</v>
      </c>
      <c r="G173" t="s">
        <v>3360</v>
      </c>
    </row>
    <row r="174" spans="1:7" ht="11.25" customHeight="1">
      <c r="A174" s="310" t="s">
        <v>16</v>
      </c>
      <c r="B174" t="s">
        <v>3353</v>
      </c>
      <c r="C174" t="s">
        <v>3354</v>
      </c>
      <c r="D174" t="s">
        <v>3361</v>
      </c>
      <c r="E174" t="s">
        <v>3362</v>
      </c>
      <c r="F174" t="s">
        <v>2907</v>
      </c>
      <c r="G174" t="s">
        <v>3363</v>
      </c>
    </row>
    <row r="175" spans="1:7" ht="11.25" customHeight="1">
      <c r="A175" s="310" t="s">
        <v>16</v>
      </c>
      <c r="B175" t="s">
        <v>3353</v>
      </c>
      <c r="C175" t="s">
        <v>3354</v>
      </c>
      <c r="D175" t="s">
        <v>3364</v>
      </c>
      <c r="E175" t="s">
        <v>3365</v>
      </c>
      <c r="F175" t="s">
        <v>2907</v>
      </c>
      <c r="G175" t="s">
        <v>3366</v>
      </c>
    </row>
    <row r="176" spans="1:7" ht="11.25" customHeight="1">
      <c r="A176" s="310" t="s">
        <v>16</v>
      </c>
      <c r="B176" t="s">
        <v>3353</v>
      </c>
      <c r="C176" t="s">
        <v>3354</v>
      </c>
      <c r="D176" t="s">
        <v>3367</v>
      </c>
      <c r="E176" t="s">
        <v>3368</v>
      </c>
      <c r="F176" t="s">
        <v>2907</v>
      </c>
      <c r="G176" t="s">
        <v>3369</v>
      </c>
    </row>
    <row r="177" spans="1:7" ht="11.25" customHeight="1">
      <c r="A177" s="310" t="s">
        <v>16</v>
      </c>
      <c r="B177" t="s">
        <v>3353</v>
      </c>
      <c r="C177" t="s">
        <v>3354</v>
      </c>
      <c r="D177" t="s">
        <v>3353</v>
      </c>
      <c r="E177" t="s">
        <v>3354</v>
      </c>
      <c r="F177" t="s">
        <v>2908</v>
      </c>
      <c r="G177" t="s">
        <v>3370</v>
      </c>
    </row>
    <row r="178" spans="1:7" ht="11.25" customHeight="1">
      <c r="A178" s="310" t="s">
        <v>16</v>
      </c>
      <c r="B178" t="s">
        <v>3353</v>
      </c>
      <c r="C178" t="s">
        <v>3354</v>
      </c>
      <c r="D178" t="s">
        <v>3371</v>
      </c>
      <c r="E178" t="s">
        <v>3372</v>
      </c>
      <c r="F178" t="s">
        <v>2907</v>
      </c>
      <c r="G178" t="s">
        <v>3373</v>
      </c>
    </row>
    <row r="179" spans="1:7" ht="11.25" customHeight="1">
      <c r="A179" s="310" t="s">
        <v>16</v>
      </c>
      <c r="B179" t="s">
        <v>3353</v>
      </c>
      <c r="C179" t="s">
        <v>3354</v>
      </c>
      <c r="D179" t="s">
        <v>3374</v>
      </c>
      <c r="E179" t="s">
        <v>3375</v>
      </c>
      <c r="F179" t="s">
        <v>2907</v>
      </c>
      <c r="G179" t="s">
        <v>3376</v>
      </c>
    </row>
    <row r="180" spans="1:7" ht="11.25" customHeight="1">
      <c r="A180" s="310" t="s">
        <v>16</v>
      </c>
      <c r="B180" t="s">
        <v>3353</v>
      </c>
      <c r="C180" t="s">
        <v>3354</v>
      </c>
      <c r="D180" t="s">
        <v>3377</v>
      </c>
      <c r="E180" t="s">
        <v>3378</v>
      </c>
      <c r="F180" t="s">
        <v>2907</v>
      </c>
      <c r="G180" t="s">
        <v>3379</v>
      </c>
    </row>
    <row r="181" spans="1:7" ht="11.25" customHeight="1">
      <c r="A181" s="310" t="s">
        <v>16</v>
      </c>
      <c r="B181" t="s">
        <v>3353</v>
      </c>
      <c r="C181" t="s">
        <v>3354</v>
      </c>
      <c r="D181" t="s">
        <v>3380</v>
      </c>
      <c r="E181" t="s">
        <v>3381</v>
      </c>
      <c r="F181" t="s">
        <v>2907</v>
      </c>
      <c r="G181" t="s">
        <v>3382</v>
      </c>
    </row>
    <row r="182" spans="1:7" ht="11.25" customHeight="1">
      <c r="A182" s="310" t="s">
        <v>16</v>
      </c>
      <c r="B182" t="s">
        <v>3353</v>
      </c>
      <c r="C182" t="s">
        <v>3354</v>
      </c>
      <c r="D182" t="s">
        <v>3383</v>
      </c>
      <c r="E182" t="s">
        <v>3384</v>
      </c>
      <c r="F182" t="s">
        <v>2977</v>
      </c>
      <c r="G182" t="s">
        <v>3385</v>
      </c>
    </row>
    <row r="183" spans="1:7" ht="11.25" customHeight="1">
      <c r="A183" s="310" t="s">
        <v>16</v>
      </c>
      <c r="B183" t="s">
        <v>3386</v>
      </c>
      <c r="C183" t="s">
        <v>3387</v>
      </c>
      <c r="D183" t="s">
        <v>3388</v>
      </c>
      <c r="E183" t="s">
        <v>3389</v>
      </c>
      <c r="F183" t="s">
        <v>2907</v>
      </c>
      <c r="G183" t="s">
        <v>3390</v>
      </c>
    </row>
    <row r="184" spans="1:7" ht="11.25" customHeight="1">
      <c r="A184" s="310" t="s">
        <v>16</v>
      </c>
      <c r="B184" t="s">
        <v>3386</v>
      </c>
      <c r="C184" t="s">
        <v>3387</v>
      </c>
      <c r="D184" t="s">
        <v>3391</v>
      </c>
      <c r="E184" t="s">
        <v>3392</v>
      </c>
      <c r="F184" t="s">
        <v>2907</v>
      </c>
      <c r="G184" t="s">
        <v>3393</v>
      </c>
    </row>
    <row r="185" spans="1:7" ht="11.25" customHeight="1">
      <c r="A185" s="310" t="s">
        <v>16</v>
      </c>
      <c r="B185" t="s">
        <v>3386</v>
      </c>
      <c r="C185" t="s">
        <v>3387</v>
      </c>
      <c r="D185" t="s">
        <v>3394</v>
      </c>
      <c r="E185" t="s">
        <v>3395</v>
      </c>
      <c r="F185" t="s">
        <v>2907</v>
      </c>
      <c r="G185" t="s">
        <v>3396</v>
      </c>
    </row>
    <row r="186" spans="1:7" ht="11.25" customHeight="1">
      <c r="A186" s="310" t="s">
        <v>16</v>
      </c>
      <c r="B186" t="s">
        <v>3386</v>
      </c>
      <c r="C186" t="s">
        <v>3387</v>
      </c>
      <c r="D186" t="s">
        <v>3397</v>
      </c>
      <c r="E186" t="s">
        <v>3398</v>
      </c>
      <c r="F186" t="s">
        <v>2907</v>
      </c>
      <c r="G186" t="s">
        <v>3399</v>
      </c>
    </row>
    <row r="187" spans="1:7" ht="11.25" customHeight="1">
      <c r="A187" s="310" t="s">
        <v>16</v>
      </c>
      <c r="B187" t="s">
        <v>3386</v>
      </c>
      <c r="C187" t="s">
        <v>3387</v>
      </c>
      <c r="D187" t="s">
        <v>3400</v>
      </c>
      <c r="E187" t="s">
        <v>3401</v>
      </c>
      <c r="F187" t="s">
        <v>2907</v>
      </c>
      <c r="G187" t="s">
        <v>3402</v>
      </c>
    </row>
    <row r="188" spans="1:7" ht="11.25" customHeight="1">
      <c r="A188" s="310" t="s">
        <v>16</v>
      </c>
      <c r="B188" t="s">
        <v>3386</v>
      </c>
      <c r="C188" t="s">
        <v>3387</v>
      </c>
      <c r="D188" t="s">
        <v>3403</v>
      </c>
      <c r="E188" t="s">
        <v>3404</v>
      </c>
      <c r="F188" t="s">
        <v>2907</v>
      </c>
      <c r="G188" t="s">
        <v>3405</v>
      </c>
    </row>
    <row r="189" spans="1:7" ht="11.25" customHeight="1">
      <c r="A189" s="310" t="s">
        <v>16</v>
      </c>
      <c r="B189" t="s">
        <v>3386</v>
      </c>
      <c r="C189" t="s">
        <v>3387</v>
      </c>
      <c r="D189" t="s">
        <v>3406</v>
      </c>
      <c r="E189" t="s">
        <v>3407</v>
      </c>
      <c r="F189" t="s">
        <v>2907</v>
      </c>
      <c r="G189" t="s">
        <v>3408</v>
      </c>
    </row>
    <row r="190" spans="1:7" ht="11.25" customHeight="1">
      <c r="A190" s="310" t="s">
        <v>16</v>
      </c>
      <c r="B190" t="s">
        <v>3386</v>
      </c>
      <c r="C190" t="s">
        <v>3387</v>
      </c>
      <c r="D190" t="s">
        <v>3409</v>
      </c>
      <c r="E190" t="s">
        <v>3410</v>
      </c>
      <c r="F190" t="s">
        <v>2907</v>
      </c>
      <c r="G190" t="s">
        <v>3411</v>
      </c>
    </row>
    <row r="191" spans="1:7" ht="11.25" customHeight="1">
      <c r="A191" s="310" t="s">
        <v>16</v>
      </c>
      <c r="B191" t="s">
        <v>3386</v>
      </c>
      <c r="C191" t="s">
        <v>3387</v>
      </c>
      <c r="D191" t="s">
        <v>3386</v>
      </c>
      <c r="E191" t="s">
        <v>3387</v>
      </c>
      <c r="F191" t="s">
        <v>2908</v>
      </c>
      <c r="G191" t="s">
        <v>3412</v>
      </c>
    </row>
    <row r="192" spans="1:7" ht="11.25" customHeight="1">
      <c r="A192" s="310" t="s">
        <v>16</v>
      </c>
      <c r="B192" t="s">
        <v>3386</v>
      </c>
      <c r="C192" t="s">
        <v>3387</v>
      </c>
      <c r="D192" t="s">
        <v>3413</v>
      </c>
      <c r="E192" t="s">
        <v>3414</v>
      </c>
      <c r="F192" t="s">
        <v>2907</v>
      </c>
      <c r="G192" t="s">
        <v>3415</v>
      </c>
    </row>
    <row r="193" spans="1:7" ht="11.25" customHeight="1">
      <c r="A193" s="310" t="s">
        <v>16</v>
      </c>
      <c r="B193" t="s">
        <v>3386</v>
      </c>
      <c r="C193" t="s">
        <v>3387</v>
      </c>
      <c r="D193" t="s">
        <v>3416</v>
      </c>
      <c r="E193" t="s">
        <v>3417</v>
      </c>
      <c r="F193" t="s">
        <v>2907</v>
      </c>
      <c r="G193" t="s">
        <v>3418</v>
      </c>
    </row>
    <row r="194" spans="1:7" ht="11.25" customHeight="1">
      <c r="A194" s="310" t="s">
        <v>16</v>
      </c>
      <c r="B194" t="s">
        <v>3386</v>
      </c>
      <c r="C194" t="s">
        <v>3387</v>
      </c>
      <c r="D194" t="s">
        <v>3419</v>
      </c>
      <c r="E194" t="s">
        <v>3420</v>
      </c>
      <c r="F194" t="s">
        <v>2907</v>
      </c>
      <c r="G194" t="s">
        <v>3421</v>
      </c>
    </row>
    <row r="195" spans="1:7" ht="11.25" customHeight="1">
      <c r="A195" s="310" t="s">
        <v>16</v>
      </c>
      <c r="B195" t="s">
        <v>3386</v>
      </c>
      <c r="C195" t="s">
        <v>3387</v>
      </c>
      <c r="D195" t="s">
        <v>3422</v>
      </c>
      <c r="E195" t="s">
        <v>3423</v>
      </c>
      <c r="F195" t="s">
        <v>2907</v>
      </c>
      <c r="G195" t="s">
        <v>3424</v>
      </c>
    </row>
    <row r="196" spans="1:7" ht="11.25" customHeight="1">
      <c r="A196" s="310" t="s">
        <v>16</v>
      </c>
      <c r="B196" t="s">
        <v>3386</v>
      </c>
      <c r="C196" t="s">
        <v>3387</v>
      </c>
      <c r="D196" t="s">
        <v>3425</v>
      </c>
      <c r="E196" t="s">
        <v>3426</v>
      </c>
      <c r="F196" t="s">
        <v>3032</v>
      </c>
      <c r="G196" t="s">
        <v>3427</v>
      </c>
    </row>
    <row r="197" spans="1:7" ht="11.25" customHeight="1">
      <c r="A197" s="310" t="s">
        <v>16</v>
      </c>
      <c r="B197" t="s">
        <v>3428</v>
      </c>
      <c r="C197" t="s">
        <v>3429</v>
      </c>
      <c r="D197" t="s">
        <v>3430</v>
      </c>
      <c r="E197" t="s">
        <v>3431</v>
      </c>
      <c r="F197" t="s">
        <v>2907</v>
      </c>
      <c r="G197" t="s">
        <v>3432</v>
      </c>
    </row>
    <row r="198" spans="1:7" ht="11.25" customHeight="1">
      <c r="A198" s="310" t="s">
        <v>16</v>
      </c>
      <c r="B198" t="s">
        <v>3428</v>
      </c>
      <c r="C198" t="s">
        <v>3429</v>
      </c>
      <c r="D198" t="s">
        <v>3433</v>
      </c>
      <c r="E198" t="s">
        <v>3434</v>
      </c>
      <c r="F198" t="s">
        <v>2907</v>
      </c>
      <c r="G198" t="s">
        <v>3435</v>
      </c>
    </row>
    <row r="199" spans="1:7" ht="11.25" customHeight="1">
      <c r="A199" s="310" t="s">
        <v>16</v>
      </c>
      <c r="B199" t="s">
        <v>3428</v>
      </c>
      <c r="C199" t="s">
        <v>3429</v>
      </c>
      <c r="D199" t="s">
        <v>3436</v>
      </c>
      <c r="E199" t="s">
        <v>3437</v>
      </c>
      <c r="F199" t="s">
        <v>2907</v>
      </c>
      <c r="G199" t="s">
        <v>3438</v>
      </c>
    </row>
    <row r="200" spans="1:7" ht="11.25" customHeight="1">
      <c r="A200" s="310" t="s">
        <v>16</v>
      </c>
      <c r="B200" t="s">
        <v>3428</v>
      </c>
      <c r="C200" t="s">
        <v>3429</v>
      </c>
      <c r="D200" t="s">
        <v>3439</v>
      </c>
      <c r="E200" t="s">
        <v>3440</v>
      </c>
      <c r="F200" t="s">
        <v>2907</v>
      </c>
      <c r="G200" t="s">
        <v>3441</v>
      </c>
    </row>
    <row r="201" spans="1:7" ht="11.25" customHeight="1">
      <c r="A201" s="310" t="s">
        <v>16</v>
      </c>
      <c r="B201" t="s">
        <v>3428</v>
      </c>
      <c r="C201" t="s">
        <v>3429</v>
      </c>
      <c r="D201" t="s">
        <v>3442</v>
      </c>
      <c r="E201" t="s">
        <v>3443</v>
      </c>
      <c r="F201" t="s">
        <v>2907</v>
      </c>
      <c r="G201" t="s">
        <v>3444</v>
      </c>
    </row>
    <row r="202" spans="1:7" ht="11.25" customHeight="1">
      <c r="A202" s="310" t="s">
        <v>16</v>
      </c>
      <c r="B202" t="s">
        <v>3428</v>
      </c>
      <c r="C202" t="s">
        <v>3429</v>
      </c>
      <c r="D202" t="s">
        <v>2994</v>
      </c>
      <c r="E202" t="s">
        <v>3445</v>
      </c>
      <c r="F202" t="s">
        <v>2907</v>
      </c>
      <c r="G202" t="s">
        <v>3446</v>
      </c>
    </row>
    <row r="203" spans="1:7" ht="11.25" customHeight="1">
      <c r="A203" s="310" t="s">
        <v>16</v>
      </c>
      <c r="B203" t="s">
        <v>3428</v>
      </c>
      <c r="C203" t="s">
        <v>3429</v>
      </c>
      <c r="D203" t="s">
        <v>3428</v>
      </c>
      <c r="E203" t="s">
        <v>3429</v>
      </c>
      <c r="F203" t="s">
        <v>2908</v>
      </c>
      <c r="G203" t="s">
        <v>3447</v>
      </c>
    </row>
    <row r="204" spans="1:7" ht="11.25" customHeight="1">
      <c r="A204" s="310" t="s">
        <v>16</v>
      </c>
      <c r="B204" t="s">
        <v>3428</v>
      </c>
      <c r="C204" t="s">
        <v>3429</v>
      </c>
      <c r="D204" t="s">
        <v>3448</v>
      </c>
      <c r="E204" t="s">
        <v>3449</v>
      </c>
      <c r="F204" t="s">
        <v>2907</v>
      </c>
      <c r="G204" t="s">
        <v>3450</v>
      </c>
    </row>
    <row r="205" spans="1:7" ht="11.25" customHeight="1">
      <c r="A205" s="310" t="s">
        <v>16</v>
      </c>
      <c r="B205" t="s">
        <v>3428</v>
      </c>
      <c r="C205" t="s">
        <v>3429</v>
      </c>
      <c r="D205" t="s">
        <v>3451</v>
      </c>
      <c r="E205" t="s">
        <v>3452</v>
      </c>
      <c r="F205" t="s">
        <v>2907</v>
      </c>
      <c r="G205" t="s">
        <v>3453</v>
      </c>
    </row>
    <row r="206" spans="1:7" ht="11.25" customHeight="1">
      <c r="A206" s="310" t="s">
        <v>16</v>
      </c>
      <c r="B206" t="s">
        <v>3428</v>
      </c>
      <c r="C206" t="s">
        <v>3429</v>
      </c>
      <c r="D206" t="s">
        <v>3454</v>
      </c>
      <c r="E206" t="s">
        <v>3455</v>
      </c>
      <c r="F206" t="s">
        <v>2907</v>
      </c>
      <c r="G206" t="s">
        <v>3456</v>
      </c>
    </row>
    <row r="207" spans="1:7" ht="11.25" customHeight="1">
      <c r="A207" s="310" t="s">
        <v>16</v>
      </c>
      <c r="B207" t="s">
        <v>3428</v>
      </c>
      <c r="C207" t="s">
        <v>3429</v>
      </c>
      <c r="D207" t="s">
        <v>3457</v>
      </c>
      <c r="E207" t="s">
        <v>3458</v>
      </c>
      <c r="F207" t="s">
        <v>2907</v>
      </c>
      <c r="G207" t="s">
        <v>3459</v>
      </c>
    </row>
    <row r="208" spans="1:7" ht="11.25" customHeight="1">
      <c r="A208" s="310" t="s">
        <v>16</v>
      </c>
      <c r="B208" t="s">
        <v>3428</v>
      </c>
      <c r="C208" t="s">
        <v>3429</v>
      </c>
      <c r="D208" t="s">
        <v>3460</v>
      </c>
      <c r="E208" t="s">
        <v>3461</v>
      </c>
      <c r="F208" t="s">
        <v>2977</v>
      </c>
      <c r="G208" t="s">
        <v>3462</v>
      </c>
    </row>
    <row r="209" spans="1:7" ht="11.25" customHeight="1">
      <c r="A209" s="310" t="s">
        <v>16</v>
      </c>
      <c r="B209" t="s">
        <v>3463</v>
      </c>
      <c r="C209" t="s">
        <v>3464</v>
      </c>
      <c r="D209" t="s">
        <v>3465</v>
      </c>
      <c r="E209" t="s">
        <v>3466</v>
      </c>
      <c r="F209" t="s">
        <v>2907</v>
      </c>
      <c r="G209" t="s">
        <v>3467</v>
      </c>
    </row>
    <row r="210" spans="1:7" ht="11.25" customHeight="1">
      <c r="A210" s="310" t="s">
        <v>16</v>
      </c>
      <c r="B210" t="s">
        <v>3463</v>
      </c>
      <c r="C210" t="s">
        <v>3464</v>
      </c>
      <c r="D210" t="s">
        <v>3468</v>
      </c>
      <c r="E210" t="s">
        <v>3469</v>
      </c>
      <c r="F210" t="s">
        <v>2907</v>
      </c>
      <c r="G210" t="s">
        <v>3470</v>
      </c>
    </row>
    <row r="211" spans="1:7" ht="11.25" customHeight="1">
      <c r="A211" s="310" t="s">
        <v>16</v>
      </c>
      <c r="B211" t="s">
        <v>3463</v>
      </c>
      <c r="C211" t="s">
        <v>3464</v>
      </c>
      <c r="D211" t="s">
        <v>3471</v>
      </c>
      <c r="E211" t="s">
        <v>3472</v>
      </c>
      <c r="F211" t="s">
        <v>2907</v>
      </c>
      <c r="G211" t="s">
        <v>3473</v>
      </c>
    </row>
    <row r="212" spans="1:7" ht="11.25" customHeight="1">
      <c r="A212" s="310" t="s">
        <v>16</v>
      </c>
      <c r="B212" t="s">
        <v>3463</v>
      </c>
      <c r="C212" t="s">
        <v>3464</v>
      </c>
      <c r="D212" t="s">
        <v>3474</v>
      </c>
      <c r="E212" t="s">
        <v>3475</v>
      </c>
      <c r="F212" t="s">
        <v>2907</v>
      </c>
      <c r="G212" t="s">
        <v>3476</v>
      </c>
    </row>
    <row r="213" spans="1:7" ht="11.25" customHeight="1">
      <c r="A213" s="310" t="s">
        <v>16</v>
      </c>
      <c r="B213" t="s">
        <v>3463</v>
      </c>
      <c r="C213" t="s">
        <v>3464</v>
      </c>
      <c r="D213" t="s">
        <v>3477</v>
      </c>
      <c r="E213" t="s">
        <v>3478</v>
      </c>
      <c r="F213" t="s">
        <v>2907</v>
      </c>
      <c r="G213" t="s">
        <v>3479</v>
      </c>
    </row>
    <row r="214" spans="1:7" ht="11.25" customHeight="1">
      <c r="A214" s="310" t="s">
        <v>16</v>
      </c>
      <c r="B214" t="s">
        <v>3463</v>
      </c>
      <c r="C214" t="s">
        <v>3464</v>
      </c>
      <c r="D214" t="s">
        <v>3480</v>
      </c>
      <c r="E214" t="s">
        <v>3481</v>
      </c>
      <c r="F214" t="s">
        <v>2907</v>
      </c>
      <c r="G214" t="s">
        <v>3482</v>
      </c>
    </row>
    <row r="215" spans="1:7" ht="11.25" customHeight="1">
      <c r="A215" s="310" t="s">
        <v>16</v>
      </c>
      <c r="B215" t="s">
        <v>3463</v>
      </c>
      <c r="C215" t="s">
        <v>3464</v>
      </c>
      <c r="D215" t="s">
        <v>3483</v>
      </c>
      <c r="E215" t="s">
        <v>3484</v>
      </c>
      <c r="F215" t="s">
        <v>2907</v>
      </c>
      <c r="G215" t="s">
        <v>3485</v>
      </c>
    </row>
    <row r="216" spans="1:7" ht="11.25" customHeight="1">
      <c r="A216" s="310" t="s">
        <v>16</v>
      </c>
      <c r="B216" t="s">
        <v>3463</v>
      </c>
      <c r="C216" t="s">
        <v>3464</v>
      </c>
      <c r="D216" t="s">
        <v>3463</v>
      </c>
      <c r="E216" t="s">
        <v>3464</v>
      </c>
      <c r="F216" t="s">
        <v>2908</v>
      </c>
      <c r="G216" t="s">
        <v>3486</v>
      </c>
    </row>
    <row r="217" spans="1:7" ht="11.25" customHeight="1">
      <c r="A217" s="310" t="s">
        <v>16</v>
      </c>
      <c r="B217" t="s">
        <v>3463</v>
      </c>
      <c r="C217" t="s">
        <v>3464</v>
      </c>
      <c r="D217" t="s">
        <v>3487</v>
      </c>
      <c r="E217" t="s">
        <v>3488</v>
      </c>
      <c r="F217" t="s">
        <v>2977</v>
      </c>
      <c r="G217" t="s">
        <v>3489</v>
      </c>
    </row>
    <row r="218" spans="1:7" ht="11.25" customHeight="1">
      <c r="A218" s="310" t="s">
        <v>16</v>
      </c>
      <c r="B218" t="s">
        <v>3490</v>
      </c>
      <c r="C218" t="s">
        <v>3491</v>
      </c>
      <c r="D218" t="s">
        <v>3492</v>
      </c>
      <c r="E218" t="s">
        <v>3493</v>
      </c>
      <c r="F218" t="s">
        <v>2907</v>
      </c>
      <c r="G218" t="s">
        <v>3494</v>
      </c>
    </row>
    <row r="219" spans="1:7" ht="11.25" customHeight="1">
      <c r="A219" s="310" t="s">
        <v>16</v>
      </c>
      <c r="B219" t="s">
        <v>3490</v>
      </c>
      <c r="C219" t="s">
        <v>3491</v>
      </c>
      <c r="D219" t="s">
        <v>3124</v>
      </c>
      <c r="E219" t="s">
        <v>3495</v>
      </c>
      <c r="F219" t="s">
        <v>2907</v>
      </c>
      <c r="G219" t="s">
        <v>3496</v>
      </c>
    </row>
    <row r="220" spans="1:7" ht="11.25" customHeight="1">
      <c r="A220" s="310" t="s">
        <v>16</v>
      </c>
      <c r="B220" t="s">
        <v>3490</v>
      </c>
      <c r="C220" t="s">
        <v>3491</v>
      </c>
      <c r="D220" t="s">
        <v>3497</v>
      </c>
      <c r="E220" t="s">
        <v>3498</v>
      </c>
      <c r="F220" t="s">
        <v>2907</v>
      </c>
      <c r="G220" t="s">
        <v>3499</v>
      </c>
    </row>
    <row r="221" spans="1:7" ht="11.25" customHeight="1">
      <c r="A221" s="310" t="s">
        <v>16</v>
      </c>
      <c r="B221" t="s">
        <v>3490</v>
      </c>
      <c r="C221" t="s">
        <v>3491</v>
      </c>
      <c r="D221" t="s">
        <v>3490</v>
      </c>
      <c r="E221" t="s">
        <v>3491</v>
      </c>
      <c r="F221" t="s">
        <v>2908</v>
      </c>
      <c r="G221" t="s">
        <v>3500</v>
      </c>
    </row>
    <row r="222" spans="1:7" ht="11.25" customHeight="1">
      <c r="A222" s="310" t="s">
        <v>16</v>
      </c>
      <c r="B222" t="s">
        <v>3490</v>
      </c>
      <c r="C222" t="s">
        <v>3491</v>
      </c>
      <c r="D222" t="s">
        <v>3501</v>
      </c>
      <c r="E222" t="s">
        <v>3502</v>
      </c>
      <c r="F222" t="s">
        <v>2907</v>
      </c>
      <c r="G222" t="s">
        <v>3503</v>
      </c>
    </row>
    <row r="223" spans="1:7" ht="11.25" customHeight="1">
      <c r="A223" s="310" t="s">
        <v>16</v>
      </c>
      <c r="B223" t="s">
        <v>3490</v>
      </c>
      <c r="C223" t="s">
        <v>3491</v>
      </c>
      <c r="D223" t="s">
        <v>3504</v>
      </c>
      <c r="E223" t="s">
        <v>3505</v>
      </c>
      <c r="F223" t="s">
        <v>2907</v>
      </c>
      <c r="G223" t="s">
        <v>3506</v>
      </c>
    </row>
    <row r="224" spans="1:7" ht="11.25" customHeight="1">
      <c r="A224" s="310" t="s">
        <v>16</v>
      </c>
      <c r="B224" t="s">
        <v>3490</v>
      </c>
      <c r="C224" t="s">
        <v>3491</v>
      </c>
      <c r="D224" t="s">
        <v>3507</v>
      </c>
      <c r="E224" t="s">
        <v>3508</v>
      </c>
      <c r="F224" t="s">
        <v>2907</v>
      </c>
      <c r="G224" t="s">
        <v>3509</v>
      </c>
    </row>
    <row r="225" spans="1:7" ht="11.25" customHeight="1">
      <c r="A225" s="310" t="s">
        <v>16</v>
      </c>
      <c r="B225" t="s">
        <v>3490</v>
      </c>
      <c r="C225" t="s">
        <v>3491</v>
      </c>
      <c r="D225" t="s">
        <v>3510</v>
      </c>
      <c r="E225" t="s">
        <v>3511</v>
      </c>
      <c r="F225" t="s">
        <v>2907</v>
      </c>
      <c r="G225" t="s">
        <v>3512</v>
      </c>
    </row>
    <row r="226" spans="1:7" ht="11.25" customHeight="1">
      <c r="A226" s="310" t="s">
        <v>16</v>
      </c>
      <c r="B226" t="s">
        <v>3490</v>
      </c>
      <c r="C226" t="s">
        <v>3491</v>
      </c>
      <c r="D226" t="s">
        <v>3513</v>
      </c>
      <c r="E226" t="s">
        <v>3514</v>
      </c>
      <c r="F226" t="s">
        <v>2907</v>
      </c>
      <c r="G226" t="s">
        <v>3515</v>
      </c>
    </row>
    <row r="227" spans="1:7" ht="11.25" customHeight="1">
      <c r="A227" s="310" t="s">
        <v>16</v>
      </c>
      <c r="B227" t="s">
        <v>3490</v>
      </c>
      <c r="C227" t="s">
        <v>3491</v>
      </c>
      <c r="D227" t="s">
        <v>3516</v>
      </c>
      <c r="E227" t="s">
        <v>3517</v>
      </c>
      <c r="F227" t="s">
        <v>2977</v>
      </c>
      <c r="G227" t="s">
        <v>3518</v>
      </c>
    </row>
    <row r="228" spans="1:7" ht="11.25" customHeight="1">
      <c r="A228" s="310" t="s">
        <v>16</v>
      </c>
      <c r="B228" t="s">
        <v>3490</v>
      </c>
      <c r="C228" t="s">
        <v>3491</v>
      </c>
      <c r="D228" t="s">
        <v>3519</v>
      </c>
      <c r="E228" t="s">
        <v>3520</v>
      </c>
      <c r="F228" t="s">
        <v>2977</v>
      </c>
      <c r="G228" t="s">
        <v>3521</v>
      </c>
    </row>
    <row r="229" spans="1:7" ht="11.25" customHeight="1">
      <c r="A229" s="310" t="s">
        <v>16</v>
      </c>
      <c r="B229" t="s">
        <v>3522</v>
      </c>
      <c r="C229" t="s">
        <v>3523</v>
      </c>
      <c r="D229" t="s">
        <v>3524</v>
      </c>
      <c r="E229" t="s">
        <v>3525</v>
      </c>
      <c r="F229" t="s">
        <v>2907</v>
      </c>
      <c r="G229" t="s">
        <v>3526</v>
      </c>
    </row>
    <row r="230" spans="1:7" ht="11.25" customHeight="1">
      <c r="A230" s="310" t="s">
        <v>16</v>
      </c>
      <c r="B230" t="s">
        <v>3522</v>
      </c>
      <c r="C230" t="s">
        <v>3523</v>
      </c>
      <c r="D230" t="s">
        <v>3527</v>
      </c>
      <c r="E230" t="s">
        <v>3528</v>
      </c>
      <c r="F230" t="s">
        <v>2907</v>
      </c>
      <c r="G230" t="s">
        <v>3529</v>
      </c>
    </row>
    <row r="231" spans="1:7" ht="11.25" customHeight="1">
      <c r="A231" s="310" t="s">
        <v>16</v>
      </c>
      <c r="B231" t="s">
        <v>3522</v>
      </c>
      <c r="C231" t="s">
        <v>3523</v>
      </c>
      <c r="D231" t="s">
        <v>3530</v>
      </c>
      <c r="E231" t="s">
        <v>3531</v>
      </c>
      <c r="F231" t="s">
        <v>2907</v>
      </c>
      <c r="G231" t="s">
        <v>3532</v>
      </c>
    </row>
    <row r="232" spans="1:7" ht="11.25" customHeight="1">
      <c r="A232" s="310" t="s">
        <v>16</v>
      </c>
      <c r="B232" t="s">
        <v>3522</v>
      </c>
      <c r="C232" t="s">
        <v>3523</v>
      </c>
      <c r="D232" t="s">
        <v>3533</v>
      </c>
      <c r="E232" t="s">
        <v>3534</v>
      </c>
      <c r="F232" t="s">
        <v>2907</v>
      </c>
      <c r="G232" t="s">
        <v>3535</v>
      </c>
    </row>
    <row r="233" spans="1:7" ht="11.25" customHeight="1">
      <c r="A233" s="310" t="s">
        <v>16</v>
      </c>
      <c r="B233" t="s">
        <v>3522</v>
      </c>
      <c r="C233" t="s">
        <v>3523</v>
      </c>
      <c r="D233" t="s">
        <v>3536</v>
      </c>
      <c r="E233" t="s">
        <v>3537</v>
      </c>
      <c r="F233" t="s">
        <v>2907</v>
      </c>
      <c r="G233" t="s">
        <v>3538</v>
      </c>
    </row>
    <row r="234" spans="1:7" ht="11.25" customHeight="1">
      <c r="A234" s="310" t="s">
        <v>16</v>
      </c>
      <c r="B234" t="s">
        <v>3522</v>
      </c>
      <c r="C234" t="s">
        <v>3523</v>
      </c>
      <c r="D234" t="s">
        <v>3539</v>
      </c>
      <c r="E234" t="s">
        <v>3540</v>
      </c>
      <c r="F234" t="s">
        <v>2907</v>
      </c>
      <c r="G234" t="s">
        <v>3541</v>
      </c>
    </row>
    <row r="235" spans="1:7" ht="11.25" customHeight="1">
      <c r="A235" s="310" t="s">
        <v>16</v>
      </c>
      <c r="B235" t="s">
        <v>3522</v>
      </c>
      <c r="C235" t="s">
        <v>3523</v>
      </c>
      <c r="D235" t="s">
        <v>3053</v>
      </c>
      <c r="E235" t="s">
        <v>3542</v>
      </c>
      <c r="F235" t="s">
        <v>2907</v>
      </c>
      <c r="G235" t="s">
        <v>3543</v>
      </c>
    </row>
    <row r="236" spans="1:7" ht="11.25" customHeight="1">
      <c r="A236" s="310" t="s">
        <v>16</v>
      </c>
      <c r="B236" t="s">
        <v>3522</v>
      </c>
      <c r="C236" t="s">
        <v>3523</v>
      </c>
      <c r="D236" t="s">
        <v>3544</v>
      </c>
      <c r="E236" t="s">
        <v>3545</v>
      </c>
      <c r="F236" t="s">
        <v>2907</v>
      </c>
      <c r="G236" t="s">
        <v>3546</v>
      </c>
    </row>
    <row r="237" spans="1:7" ht="11.25" customHeight="1">
      <c r="A237" s="310" t="s">
        <v>16</v>
      </c>
      <c r="B237" t="s">
        <v>3522</v>
      </c>
      <c r="C237" t="s">
        <v>3523</v>
      </c>
      <c r="D237" t="s">
        <v>3547</v>
      </c>
      <c r="E237" t="s">
        <v>3548</v>
      </c>
      <c r="F237" t="s">
        <v>2907</v>
      </c>
      <c r="G237" t="s">
        <v>3549</v>
      </c>
    </row>
    <row r="238" spans="1:7" ht="11.25" customHeight="1">
      <c r="A238" s="310" t="s">
        <v>16</v>
      </c>
      <c r="B238" t="s">
        <v>3522</v>
      </c>
      <c r="C238" t="s">
        <v>3523</v>
      </c>
      <c r="D238" t="s">
        <v>3550</v>
      </c>
      <c r="E238" t="s">
        <v>3551</v>
      </c>
      <c r="F238" t="s">
        <v>2907</v>
      </c>
      <c r="G238" t="s">
        <v>3552</v>
      </c>
    </row>
    <row r="239" spans="1:7" ht="11.25" customHeight="1">
      <c r="A239" s="310" t="s">
        <v>16</v>
      </c>
      <c r="B239" t="s">
        <v>3522</v>
      </c>
      <c r="C239" t="s">
        <v>3523</v>
      </c>
      <c r="D239" t="s">
        <v>3553</v>
      </c>
      <c r="E239" t="s">
        <v>3554</v>
      </c>
      <c r="F239" t="s">
        <v>2907</v>
      </c>
      <c r="G239" t="s">
        <v>3555</v>
      </c>
    </row>
    <row r="240" spans="1:7" ht="11.25" customHeight="1">
      <c r="A240" s="310" t="s">
        <v>16</v>
      </c>
      <c r="B240" t="s">
        <v>3522</v>
      </c>
      <c r="C240" t="s">
        <v>3523</v>
      </c>
      <c r="D240" t="s">
        <v>3556</v>
      </c>
      <c r="E240" t="s">
        <v>3557</v>
      </c>
      <c r="F240" t="s">
        <v>2907</v>
      </c>
      <c r="G240" t="s">
        <v>3558</v>
      </c>
    </row>
    <row r="241" spans="1:7" ht="11.25" customHeight="1">
      <c r="A241" s="310" t="s">
        <v>16</v>
      </c>
      <c r="B241" t="s">
        <v>3522</v>
      </c>
      <c r="C241" t="s">
        <v>3523</v>
      </c>
      <c r="D241" t="s">
        <v>3522</v>
      </c>
      <c r="E241" t="s">
        <v>3523</v>
      </c>
      <c r="F241" t="s">
        <v>2908</v>
      </c>
      <c r="G241" t="s">
        <v>3559</v>
      </c>
    </row>
    <row r="242" spans="1:7" ht="11.25" customHeight="1">
      <c r="A242" s="310" t="s">
        <v>16</v>
      </c>
      <c r="B242" t="s">
        <v>3522</v>
      </c>
      <c r="C242" t="s">
        <v>3523</v>
      </c>
      <c r="D242" t="s">
        <v>3065</v>
      </c>
      <c r="E242" t="s">
        <v>3560</v>
      </c>
      <c r="F242" t="s">
        <v>2907</v>
      </c>
      <c r="G242" t="s">
        <v>3561</v>
      </c>
    </row>
    <row r="243" spans="1:7" ht="11.25" customHeight="1">
      <c r="A243" s="310" t="s">
        <v>16</v>
      </c>
      <c r="B243" t="s">
        <v>3522</v>
      </c>
      <c r="C243" t="s">
        <v>3523</v>
      </c>
      <c r="D243" t="s">
        <v>3562</v>
      </c>
      <c r="E243" t="s">
        <v>3563</v>
      </c>
      <c r="F243" t="s">
        <v>2907</v>
      </c>
      <c r="G243" t="s">
        <v>3564</v>
      </c>
    </row>
    <row r="244" spans="1:7" ht="11.25" customHeight="1">
      <c r="A244" s="310" t="s">
        <v>16</v>
      </c>
      <c r="B244" t="s">
        <v>3522</v>
      </c>
      <c r="C244" t="s">
        <v>3523</v>
      </c>
      <c r="D244" t="s">
        <v>3565</v>
      </c>
      <c r="E244" t="s">
        <v>3566</v>
      </c>
      <c r="F244" t="s">
        <v>3032</v>
      </c>
      <c r="G244" t="s">
        <v>3567</v>
      </c>
    </row>
    <row r="245" spans="1:7" ht="11.25" customHeight="1">
      <c r="A245" s="310" t="s">
        <v>16</v>
      </c>
      <c r="B245" t="s">
        <v>3568</v>
      </c>
      <c r="C245" t="s">
        <v>3569</v>
      </c>
      <c r="D245" t="s">
        <v>3570</v>
      </c>
      <c r="E245" t="s">
        <v>3571</v>
      </c>
      <c r="F245" t="s">
        <v>2907</v>
      </c>
      <c r="G245" t="s">
        <v>3572</v>
      </c>
    </row>
    <row r="246" spans="1:7" ht="11.25" customHeight="1">
      <c r="A246" s="310" t="s">
        <v>16</v>
      </c>
      <c r="B246" t="s">
        <v>3568</v>
      </c>
      <c r="C246" t="s">
        <v>3569</v>
      </c>
      <c r="D246" t="s">
        <v>3573</v>
      </c>
      <c r="E246" t="s">
        <v>3574</v>
      </c>
      <c r="F246" t="s">
        <v>2907</v>
      </c>
      <c r="G246" t="s">
        <v>3575</v>
      </c>
    </row>
    <row r="247" spans="1:7" ht="11.25" customHeight="1">
      <c r="A247" s="310" t="s">
        <v>16</v>
      </c>
      <c r="B247" t="s">
        <v>3568</v>
      </c>
      <c r="C247" t="s">
        <v>3569</v>
      </c>
      <c r="D247" t="s">
        <v>3576</v>
      </c>
      <c r="E247" t="s">
        <v>3577</v>
      </c>
      <c r="F247" t="s">
        <v>2907</v>
      </c>
      <c r="G247" t="s">
        <v>3578</v>
      </c>
    </row>
    <row r="248" spans="1:7" ht="11.25" customHeight="1">
      <c r="A248" s="310" t="s">
        <v>16</v>
      </c>
      <c r="B248" t="s">
        <v>3568</v>
      </c>
      <c r="C248" t="s">
        <v>3569</v>
      </c>
      <c r="D248" t="s">
        <v>3127</v>
      </c>
      <c r="E248" t="s">
        <v>3579</v>
      </c>
      <c r="F248" t="s">
        <v>2907</v>
      </c>
      <c r="G248" t="s">
        <v>3580</v>
      </c>
    </row>
    <row r="249" spans="1:7" ht="11.25" customHeight="1">
      <c r="A249" s="310" t="s">
        <v>16</v>
      </c>
      <c r="B249" t="s">
        <v>3568</v>
      </c>
      <c r="C249" t="s">
        <v>3569</v>
      </c>
      <c r="D249" t="s">
        <v>3581</v>
      </c>
      <c r="E249" t="s">
        <v>3582</v>
      </c>
      <c r="F249" t="s">
        <v>2907</v>
      </c>
      <c r="G249" t="s">
        <v>3583</v>
      </c>
    </row>
    <row r="250" spans="1:7" ht="11.25" customHeight="1">
      <c r="A250" s="310" t="s">
        <v>16</v>
      </c>
      <c r="B250" t="s">
        <v>3568</v>
      </c>
      <c r="C250" t="s">
        <v>3569</v>
      </c>
      <c r="D250" t="s">
        <v>3136</v>
      </c>
      <c r="E250" t="s">
        <v>3584</v>
      </c>
      <c r="F250" t="s">
        <v>2907</v>
      </c>
      <c r="G250" t="s">
        <v>3585</v>
      </c>
    </row>
    <row r="251" spans="1:7" ht="11.25" customHeight="1">
      <c r="A251" s="310" t="s">
        <v>16</v>
      </c>
      <c r="B251" t="s">
        <v>3568</v>
      </c>
      <c r="C251" t="s">
        <v>3569</v>
      </c>
      <c r="D251" t="s">
        <v>3586</v>
      </c>
      <c r="E251" t="s">
        <v>3587</v>
      </c>
      <c r="F251" t="s">
        <v>2907</v>
      </c>
      <c r="G251" t="s">
        <v>3588</v>
      </c>
    </row>
    <row r="252" spans="1:7" ht="11.25" customHeight="1">
      <c r="A252" s="310" t="s">
        <v>16</v>
      </c>
      <c r="B252" t="s">
        <v>3568</v>
      </c>
      <c r="C252" t="s">
        <v>3569</v>
      </c>
      <c r="D252" t="s">
        <v>3589</v>
      </c>
      <c r="E252" t="s">
        <v>3590</v>
      </c>
      <c r="F252" t="s">
        <v>2907</v>
      </c>
      <c r="G252" t="s">
        <v>3591</v>
      </c>
    </row>
    <row r="253" spans="1:7" ht="11.25" customHeight="1">
      <c r="A253" s="310" t="s">
        <v>16</v>
      </c>
      <c r="B253" t="s">
        <v>3568</v>
      </c>
      <c r="C253" t="s">
        <v>3569</v>
      </c>
      <c r="D253" t="s">
        <v>3592</v>
      </c>
      <c r="E253" t="s">
        <v>3593</v>
      </c>
      <c r="F253" t="s">
        <v>2907</v>
      </c>
      <c r="G253" t="s">
        <v>3594</v>
      </c>
    </row>
    <row r="254" spans="1:7" ht="11.25" customHeight="1">
      <c r="A254" s="310" t="s">
        <v>16</v>
      </c>
      <c r="B254" t="s">
        <v>3568</v>
      </c>
      <c r="C254" t="s">
        <v>3569</v>
      </c>
      <c r="D254" t="s">
        <v>3568</v>
      </c>
      <c r="E254" t="s">
        <v>3569</v>
      </c>
      <c r="F254" t="s">
        <v>2908</v>
      </c>
      <c r="G254" t="s">
        <v>3595</v>
      </c>
    </row>
    <row r="255" spans="1:7" ht="11.25" customHeight="1">
      <c r="A255" s="310" t="s">
        <v>16</v>
      </c>
      <c r="B255" t="s">
        <v>3568</v>
      </c>
      <c r="C255" t="s">
        <v>3569</v>
      </c>
      <c r="D255" t="s">
        <v>3596</v>
      </c>
      <c r="E255" t="s">
        <v>3597</v>
      </c>
      <c r="F255" t="s">
        <v>2907</v>
      </c>
      <c r="G255" t="s">
        <v>3598</v>
      </c>
    </row>
    <row r="256" spans="1:7" ht="11.25" customHeight="1">
      <c r="A256" s="310" t="s">
        <v>16</v>
      </c>
      <c r="B256" t="s">
        <v>3568</v>
      </c>
      <c r="C256" t="s">
        <v>3569</v>
      </c>
      <c r="D256" t="s">
        <v>3599</v>
      </c>
      <c r="E256" t="s">
        <v>3600</v>
      </c>
      <c r="F256" t="s">
        <v>2977</v>
      </c>
      <c r="G256" t="s">
        <v>3601</v>
      </c>
    </row>
    <row r="257" spans="1:7" ht="11.25" customHeight="1">
      <c r="A257" s="310" t="s">
        <v>16</v>
      </c>
      <c r="B257" t="s">
        <v>3602</v>
      </c>
      <c r="C257" t="s">
        <v>3603</v>
      </c>
      <c r="D257" t="s">
        <v>3604</v>
      </c>
      <c r="E257" t="s">
        <v>3605</v>
      </c>
      <c r="F257" t="s">
        <v>2907</v>
      </c>
      <c r="G257" t="s">
        <v>3606</v>
      </c>
    </row>
    <row r="258" spans="1:7" ht="11.25" customHeight="1">
      <c r="A258" s="310" t="s">
        <v>16</v>
      </c>
      <c r="B258" t="s">
        <v>3602</v>
      </c>
      <c r="C258" t="s">
        <v>3603</v>
      </c>
      <c r="D258" t="s">
        <v>3607</v>
      </c>
      <c r="E258" t="s">
        <v>3608</v>
      </c>
      <c r="F258" t="s">
        <v>2907</v>
      </c>
      <c r="G258" t="s">
        <v>3609</v>
      </c>
    </row>
    <row r="259" spans="1:7" ht="11.25" customHeight="1">
      <c r="A259" s="310" t="s">
        <v>16</v>
      </c>
      <c r="B259" t="s">
        <v>3602</v>
      </c>
      <c r="C259" t="s">
        <v>3603</v>
      </c>
      <c r="D259" t="s">
        <v>3530</v>
      </c>
      <c r="E259" t="s">
        <v>3610</v>
      </c>
      <c r="F259" t="s">
        <v>2907</v>
      </c>
      <c r="G259" t="s">
        <v>3611</v>
      </c>
    </row>
    <row r="260" spans="1:7" ht="11.25" customHeight="1">
      <c r="A260" s="310" t="s">
        <v>16</v>
      </c>
      <c r="B260" t="s">
        <v>3602</v>
      </c>
      <c r="C260" t="s">
        <v>3603</v>
      </c>
      <c r="D260" t="s">
        <v>3602</v>
      </c>
      <c r="E260" t="s">
        <v>3603</v>
      </c>
      <c r="F260" t="s">
        <v>2908</v>
      </c>
      <c r="G260" t="s">
        <v>3612</v>
      </c>
    </row>
    <row r="261" spans="1:7" ht="11.25" customHeight="1">
      <c r="A261" s="310" t="s">
        <v>16</v>
      </c>
      <c r="B261" t="s">
        <v>3602</v>
      </c>
      <c r="C261" t="s">
        <v>3603</v>
      </c>
      <c r="D261" t="s">
        <v>3613</v>
      </c>
      <c r="E261" t="s">
        <v>3614</v>
      </c>
      <c r="F261" t="s">
        <v>2907</v>
      </c>
      <c r="G261" t="s">
        <v>3615</v>
      </c>
    </row>
    <row r="262" spans="1:7" ht="11.25" customHeight="1">
      <c r="A262" s="310" t="s">
        <v>16</v>
      </c>
      <c r="B262" t="s">
        <v>3602</v>
      </c>
      <c r="C262" t="s">
        <v>3603</v>
      </c>
      <c r="D262" t="s">
        <v>3616</v>
      </c>
      <c r="E262" t="s">
        <v>3617</v>
      </c>
      <c r="F262" t="s">
        <v>2907</v>
      </c>
      <c r="G262" t="s">
        <v>3618</v>
      </c>
    </row>
    <row r="263" spans="1:7" ht="11.25" customHeight="1">
      <c r="A263" s="310" t="s">
        <v>16</v>
      </c>
      <c r="B263" t="s">
        <v>3602</v>
      </c>
      <c r="C263" t="s">
        <v>3603</v>
      </c>
      <c r="D263" t="s">
        <v>3269</v>
      </c>
      <c r="E263" t="s">
        <v>3619</v>
      </c>
      <c r="F263" t="s">
        <v>2907</v>
      </c>
      <c r="G263" t="s">
        <v>3620</v>
      </c>
    </row>
    <row r="264" spans="1:7" ht="11.25" customHeight="1">
      <c r="A264" s="310" t="s">
        <v>16</v>
      </c>
      <c r="B264" t="s">
        <v>3602</v>
      </c>
      <c r="C264" t="s">
        <v>3603</v>
      </c>
      <c r="D264" t="s">
        <v>3621</v>
      </c>
      <c r="E264" t="s">
        <v>3622</v>
      </c>
      <c r="F264" t="s">
        <v>2977</v>
      </c>
      <c r="G264" t="s">
        <v>3623</v>
      </c>
    </row>
    <row r="265" spans="1:7" ht="11.25" customHeight="1">
      <c r="A265" s="310" t="s">
        <v>16</v>
      </c>
      <c r="B265" t="s">
        <v>3624</v>
      </c>
      <c r="C265" t="s">
        <v>3625</v>
      </c>
      <c r="D265" t="s">
        <v>3626</v>
      </c>
      <c r="E265" t="s">
        <v>3627</v>
      </c>
      <c r="F265" t="s">
        <v>2907</v>
      </c>
      <c r="G265" t="s">
        <v>3628</v>
      </c>
    </row>
    <row r="266" spans="1:7" ht="11.25" customHeight="1">
      <c r="A266" s="310" t="s">
        <v>16</v>
      </c>
      <c r="B266" t="s">
        <v>3624</v>
      </c>
      <c r="C266" t="s">
        <v>3625</v>
      </c>
      <c r="D266" t="s">
        <v>3629</v>
      </c>
      <c r="E266" t="s">
        <v>3630</v>
      </c>
      <c r="F266" t="s">
        <v>2907</v>
      </c>
      <c r="G266" t="s">
        <v>3631</v>
      </c>
    </row>
    <row r="267" spans="1:7" ht="11.25" customHeight="1">
      <c r="A267" s="310" t="s">
        <v>16</v>
      </c>
      <c r="B267" t="s">
        <v>3624</v>
      </c>
      <c r="C267" t="s">
        <v>3625</v>
      </c>
      <c r="D267" t="s">
        <v>3632</v>
      </c>
      <c r="E267" t="s">
        <v>3633</v>
      </c>
      <c r="F267" t="s">
        <v>2907</v>
      </c>
      <c r="G267" t="s">
        <v>3634</v>
      </c>
    </row>
    <row r="268" spans="1:7" ht="11.25" customHeight="1">
      <c r="A268" s="310" t="s">
        <v>16</v>
      </c>
      <c r="B268" t="s">
        <v>3624</v>
      </c>
      <c r="C268" t="s">
        <v>3625</v>
      </c>
      <c r="D268" t="s">
        <v>3635</v>
      </c>
      <c r="E268" t="s">
        <v>3636</v>
      </c>
      <c r="F268" t="s">
        <v>2907</v>
      </c>
      <c r="G268" t="s">
        <v>3637</v>
      </c>
    </row>
    <row r="269" spans="1:7" ht="11.25" customHeight="1">
      <c r="A269" s="310" t="s">
        <v>16</v>
      </c>
      <c r="B269" t="s">
        <v>3624</v>
      </c>
      <c r="C269" t="s">
        <v>3625</v>
      </c>
      <c r="D269" t="s">
        <v>3638</v>
      </c>
      <c r="E269" t="s">
        <v>3639</v>
      </c>
      <c r="F269" t="s">
        <v>2907</v>
      </c>
      <c r="G269" t="s">
        <v>3640</v>
      </c>
    </row>
    <row r="270" spans="1:7" ht="11.25" customHeight="1">
      <c r="A270" s="310" t="s">
        <v>16</v>
      </c>
      <c r="B270" t="s">
        <v>3624</v>
      </c>
      <c r="C270" t="s">
        <v>3625</v>
      </c>
      <c r="D270" t="s">
        <v>3641</v>
      </c>
      <c r="E270" t="s">
        <v>3642</v>
      </c>
      <c r="F270" t="s">
        <v>2907</v>
      </c>
      <c r="G270" t="s">
        <v>3643</v>
      </c>
    </row>
    <row r="271" spans="1:7" ht="11.25" customHeight="1">
      <c r="A271" s="310" t="s">
        <v>16</v>
      </c>
      <c r="B271" t="s">
        <v>3624</v>
      </c>
      <c r="C271" t="s">
        <v>3625</v>
      </c>
      <c r="D271" t="s">
        <v>3644</v>
      </c>
      <c r="E271" t="s">
        <v>3645</v>
      </c>
      <c r="F271" t="s">
        <v>2907</v>
      </c>
      <c r="G271" t="s">
        <v>3646</v>
      </c>
    </row>
    <row r="272" spans="1:7" ht="11.25" customHeight="1">
      <c r="A272" s="310" t="s">
        <v>16</v>
      </c>
      <c r="B272" t="s">
        <v>3624</v>
      </c>
      <c r="C272" t="s">
        <v>3625</v>
      </c>
      <c r="D272" t="s">
        <v>3647</v>
      </c>
      <c r="E272" t="s">
        <v>3648</v>
      </c>
      <c r="F272" t="s">
        <v>2907</v>
      </c>
      <c r="G272" t="s">
        <v>3649</v>
      </c>
    </row>
    <row r="273" spans="1:7" ht="11.25" customHeight="1">
      <c r="A273" s="310" t="s">
        <v>16</v>
      </c>
      <c r="B273" t="s">
        <v>3624</v>
      </c>
      <c r="C273" t="s">
        <v>3625</v>
      </c>
      <c r="D273" t="s">
        <v>3650</v>
      </c>
      <c r="E273" t="s">
        <v>3651</v>
      </c>
      <c r="F273" t="s">
        <v>2907</v>
      </c>
      <c r="G273" t="s">
        <v>3652</v>
      </c>
    </row>
    <row r="274" spans="1:7" ht="11.25" customHeight="1">
      <c r="A274" s="310" t="s">
        <v>16</v>
      </c>
      <c r="B274" t="s">
        <v>3624</v>
      </c>
      <c r="C274" t="s">
        <v>3625</v>
      </c>
      <c r="D274" t="s">
        <v>3653</v>
      </c>
      <c r="E274" t="s">
        <v>3654</v>
      </c>
      <c r="F274" t="s">
        <v>2907</v>
      </c>
      <c r="G274" t="s">
        <v>3655</v>
      </c>
    </row>
    <row r="275" spans="1:7" ht="11.25" customHeight="1">
      <c r="A275" s="310" t="s">
        <v>16</v>
      </c>
      <c r="B275" t="s">
        <v>3624</v>
      </c>
      <c r="C275" t="s">
        <v>3625</v>
      </c>
      <c r="D275" t="s">
        <v>3656</v>
      </c>
      <c r="E275" t="s">
        <v>3657</v>
      </c>
      <c r="F275" t="s">
        <v>2907</v>
      </c>
      <c r="G275" t="s">
        <v>3658</v>
      </c>
    </row>
    <row r="276" spans="1:7" ht="11.25" customHeight="1">
      <c r="A276" s="310" t="s">
        <v>16</v>
      </c>
      <c r="B276" t="s">
        <v>3624</v>
      </c>
      <c r="C276" t="s">
        <v>3625</v>
      </c>
      <c r="D276" t="s">
        <v>3659</v>
      </c>
      <c r="E276" t="s">
        <v>3660</v>
      </c>
      <c r="F276" t="s">
        <v>2907</v>
      </c>
      <c r="G276" t="s">
        <v>3661</v>
      </c>
    </row>
    <row r="277" spans="1:7" ht="11.25" customHeight="1">
      <c r="A277" s="310" t="s">
        <v>16</v>
      </c>
      <c r="B277" t="s">
        <v>3624</v>
      </c>
      <c r="C277" t="s">
        <v>3625</v>
      </c>
      <c r="D277" t="s">
        <v>3662</v>
      </c>
      <c r="E277" t="s">
        <v>3663</v>
      </c>
      <c r="F277" t="s">
        <v>2907</v>
      </c>
      <c r="G277" t="s">
        <v>3664</v>
      </c>
    </row>
    <row r="278" spans="1:7" ht="11.25" customHeight="1">
      <c r="A278" s="310" t="s">
        <v>16</v>
      </c>
      <c r="B278" t="s">
        <v>3624</v>
      </c>
      <c r="C278" t="s">
        <v>3625</v>
      </c>
      <c r="D278" t="s">
        <v>3665</v>
      </c>
      <c r="E278" t="s">
        <v>3666</v>
      </c>
      <c r="F278" t="s">
        <v>2907</v>
      </c>
      <c r="G278" t="s">
        <v>3667</v>
      </c>
    </row>
    <row r="279" spans="1:7" ht="11.25" customHeight="1">
      <c r="A279" s="310" t="s">
        <v>16</v>
      </c>
      <c r="B279" t="s">
        <v>3624</v>
      </c>
      <c r="C279" t="s">
        <v>3625</v>
      </c>
      <c r="D279" t="s">
        <v>3668</v>
      </c>
      <c r="E279" t="s">
        <v>3669</v>
      </c>
      <c r="F279" t="s">
        <v>2907</v>
      </c>
      <c r="G279" t="s">
        <v>3670</v>
      </c>
    </row>
    <row r="280" spans="1:7" ht="11.25" customHeight="1">
      <c r="A280" s="310" t="s">
        <v>16</v>
      </c>
      <c r="B280" t="s">
        <v>3624</v>
      </c>
      <c r="C280" t="s">
        <v>3625</v>
      </c>
      <c r="D280" t="s">
        <v>3624</v>
      </c>
      <c r="E280" t="s">
        <v>3625</v>
      </c>
      <c r="F280" t="s">
        <v>2908</v>
      </c>
      <c r="G280" t="s">
        <v>3671</v>
      </c>
    </row>
    <row r="281" spans="1:7" ht="11.25" customHeight="1">
      <c r="A281" s="310" t="s">
        <v>16</v>
      </c>
      <c r="B281" t="s">
        <v>3624</v>
      </c>
      <c r="C281" t="s">
        <v>3625</v>
      </c>
      <c r="D281" t="s">
        <v>3672</v>
      </c>
      <c r="E281" t="s">
        <v>3673</v>
      </c>
      <c r="F281" t="s">
        <v>2907</v>
      </c>
      <c r="G281" t="s">
        <v>3674</v>
      </c>
    </row>
    <row r="282" spans="1:7" ht="11.25" customHeight="1">
      <c r="A282" s="310" t="s">
        <v>16</v>
      </c>
      <c r="B282" t="s">
        <v>3624</v>
      </c>
      <c r="C282" t="s">
        <v>3625</v>
      </c>
      <c r="D282" t="s">
        <v>3675</v>
      </c>
      <c r="E282" t="s">
        <v>3676</v>
      </c>
      <c r="F282" t="s">
        <v>3032</v>
      </c>
      <c r="G282" t="s">
        <v>3677</v>
      </c>
    </row>
    <row r="283" spans="1:7" ht="11.25" customHeight="1">
      <c r="A283" s="310" t="s">
        <v>16</v>
      </c>
      <c r="B283" t="s">
        <v>3678</v>
      </c>
      <c r="C283" t="s">
        <v>3679</v>
      </c>
      <c r="D283" t="s">
        <v>3680</v>
      </c>
      <c r="E283" t="s">
        <v>3681</v>
      </c>
      <c r="F283" t="s">
        <v>2907</v>
      </c>
      <c r="G283" t="s">
        <v>3682</v>
      </c>
    </row>
    <row r="284" spans="1:7" ht="11.25" customHeight="1">
      <c r="A284" s="310" t="s">
        <v>16</v>
      </c>
      <c r="B284" t="s">
        <v>3678</v>
      </c>
      <c r="C284" t="s">
        <v>3679</v>
      </c>
      <c r="D284" t="s">
        <v>3683</v>
      </c>
      <c r="E284" t="s">
        <v>3684</v>
      </c>
      <c r="F284" t="s">
        <v>2907</v>
      </c>
      <c r="G284" t="s">
        <v>3685</v>
      </c>
    </row>
    <row r="285" spans="1:7" ht="11.25" customHeight="1">
      <c r="A285" s="310" t="s">
        <v>16</v>
      </c>
      <c r="B285" t="s">
        <v>3678</v>
      </c>
      <c r="C285" t="s">
        <v>3679</v>
      </c>
      <c r="D285" t="s">
        <v>3686</v>
      </c>
      <c r="E285" t="s">
        <v>3687</v>
      </c>
      <c r="F285" t="s">
        <v>2907</v>
      </c>
      <c r="G285" t="s">
        <v>3688</v>
      </c>
    </row>
    <row r="286" spans="1:7" ht="11.25" customHeight="1">
      <c r="A286" s="310" t="s">
        <v>16</v>
      </c>
      <c r="B286" t="s">
        <v>3678</v>
      </c>
      <c r="C286" t="s">
        <v>3679</v>
      </c>
      <c r="D286" t="s">
        <v>3136</v>
      </c>
      <c r="E286" t="s">
        <v>3689</v>
      </c>
      <c r="F286" t="s">
        <v>2907</v>
      </c>
      <c r="G286" t="s">
        <v>3690</v>
      </c>
    </row>
    <row r="287" spans="1:7" ht="11.25" customHeight="1">
      <c r="A287" s="310" t="s">
        <v>16</v>
      </c>
      <c r="B287" t="s">
        <v>3678</v>
      </c>
      <c r="C287" t="s">
        <v>3679</v>
      </c>
      <c r="D287" t="s">
        <v>3691</v>
      </c>
      <c r="E287" t="s">
        <v>3692</v>
      </c>
      <c r="F287" t="s">
        <v>2907</v>
      </c>
      <c r="G287" t="s">
        <v>3693</v>
      </c>
    </row>
    <row r="288" spans="1:7" ht="11.25" customHeight="1">
      <c r="A288" s="310" t="s">
        <v>16</v>
      </c>
      <c r="B288" t="s">
        <v>3678</v>
      </c>
      <c r="C288" t="s">
        <v>3679</v>
      </c>
      <c r="D288" t="s">
        <v>3694</v>
      </c>
      <c r="E288" t="s">
        <v>3695</v>
      </c>
      <c r="F288" t="s">
        <v>2907</v>
      </c>
      <c r="G288" t="s">
        <v>3696</v>
      </c>
    </row>
    <row r="289" spans="1:7" ht="11.25" customHeight="1">
      <c r="A289" s="310" t="s">
        <v>16</v>
      </c>
      <c r="B289" t="s">
        <v>3678</v>
      </c>
      <c r="C289" t="s">
        <v>3679</v>
      </c>
      <c r="D289" t="s">
        <v>3678</v>
      </c>
      <c r="E289" t="s">
        <v>3679</v>
      </c>
      <c r="F289" t="s">
        <v>2908</v>
      </c>
      <c r="G289" t="s">
        <v>3697</v>
      </c>
    </row>
    <row r="290" spans="1:7" ht="11.25" customHeight="1">
      <c r="A290" s="310" t="s">
        <v>16</v>
      </c>
      <c r="B290" t="s">
        <v>3678</v>
      </c>
      <c r="C290" t="s">
        <v>3679</v>
      </c>
      <c r="D290" t="s">
        <v>3698</v>
      </c>
      <c r="E290" t="s">
        <v>3699</v>
      </c>
      <c r="F290" t="s">
        <v>2907</v>
      </c>
      <c r="G290" t="s">
        <v>3700</v>
      </c>
    </row>
    <row r="291" spans="1:7" ht="11.25" customHeight="1">
      <c r="A291" s="310" t="s">
        <v>16</v>
      </c>
      <c r="B291" t="s">
        <v>3678</v>
      </c>
      <c r="C291" t="s">
        <v>3679</v>
      </c>
      <c r="D291" t="s">
        <v>3145</v>
      </c>
      <c r="E291" t="s">
        <v>3701</v>
      </c>
      <c r="F291" t="s">
        <v>2907</v>
      </c>
      <c r="G291" t="s">
        <v>3702</v>
      </c>
    </row>
    <row r="292" spans="1:7" ht="11.25" customHeight="1">
      <c r="A292" s="310" t="s">
        <v>16</v>
      </c>
      <c r="B292" t="s">
        <v>3678</v>
      </c>
      <c r="C292" t="s">
        <v>3679</v>
      </c>
      <c r="D292" t="s">
        <v>3703</v>
      </c>
      <c r="E292" t="s">
        <v>3704</v>
      </c>
      <c r="F292" t="s">
        <v>2977</v>
      </c>
      <c r="G292" t="s">
        <v>3705</v>
      </c>
    </row>
    <row r="293" spans="1:7" ht="11.25" customHeight="1">
      <c r="A293" s="310" t="s">
        <v>16</v>
      </c>
      <c r="B293" t="s">
        <v>3706</v>
      </c>
      <c r="C293" t="s">
        <v>3707</v>
      </c>
      <c r="D293" t="s">
        <v>3708</v>
      </c>
      <c r="E293" t="s">
        <v>3709</v>
      </c>
      <c r="F293" t="s">
        <v>2907</v>
      </c>
      <c r="G293" t="s">
        <v>3710</v>
      </c>
    </row>
    <row r="294" spans="1:7" ht="11.25" customHeight="1">
      <c r="A294" s="310" t="s">
        <v>16</v>
      </c>
      <c r="B294" t="s">
        <v>3706</v>
      </c>
      <c r="C294" t="s">
        <v>3707</v>
      </c>
      <c r="D294" t="s">
        <v>3711</v>
      </c>
      <c r="E294" t="s">
        <v>3712</v>
      </c>
      <c r="F294" t="s">
        <v>2907</v>
      </c>
      <c r="G294" t="s">
        <v>3713</v>
      </c>
    </row>
    <row r="295" spans="1:7" ht="11.25" customHeight="1">
      <c r="A295" s="310" t="s">
        <v>16</v>
      </c>
      <c r="B295" t="s">
        <v>3706</v>
      </c>
      <c r="C295" t="s">
        <v>3707</v>
      </c>
      <c r="D295" t="s">
        <v>3714</v>
      </c>
      <c r="E295" t="s">
        <v>3715</v>
      </c>
      <c r="F295" t="s">
        <v>2907</v>
      </c>
      <c r="G295" t="s">
        <v>3716</v>
      </c>
    </row>
    <row r="296" spans="1:7" ht="11.25" customHeight="1">
      <c r="A296" s="310" t="s">
        <v>16</v>
      </c>
      <c r="B296" t="s">
        <v>3706</v>
      </c>
      <c r="C296" t="s">
        <v>3707</v>
      </c>
      <c r="D296" t="s">
        <v>3717</v>
      </c>
      <c r="E296" t="s">
        <v>3718</v>
      </c>
      <c r="F296" t="s">
        <v>2907</v>
      </c>
      <c r="G296" t="s">
        <v>3719</v>
      </c>
    </row>
    <row r="297" spans="1:7" ht="11.25" customHeight="1">
      <c r="A297" s="310" t="s">
        <v>16</v>
      </c>
      <c r="B297" t="s">
        <v>3706</v>
      </c>
      <c r="C297" t="s">
        <v>3707</v>
      </c>
      <c r="D297" t="s">
        <v>3720</v>
      </c>
      <c r="E297" t="s">
        <v>3721</v>
      </c>
      <c r="F297" t="s">
        <v>2907</v>
      </c>
      <c r="G297" t="s">
        <v>3722</v>
      </c>
    </row>
    <row r="298" spans="1:7" ht="11.25" customHeight="1">
      <c r="A298" s="310" t="s">
        <v>16</v>
      </c>
      <c r="B298" t="s">
        <v>3706</v>
      </c>
      <c r="C298" t="s">
        <v>3707</v>
      </c>
      <c r="D298" t="s">
        <v>3723</v>
      </c>
      <c r="E298" t="s">
        <v>3724</v>
      </c>
      <c r="F298" t="s">
        <v>2907</v>
      </c>
      <c r="G298" t="s">
        <v>3725</v>
      </c>
    </row>
    <row r="299" spans="1:7" ht="11.25" customHeight="1">
      <c r="A299" s="310" t="s">
        <v>16</v>
      </c>
      <c r="B299" t="s">
        <v>3706</v>
      </c>
      <c r="C299" t="s">
        <v>3707</v>
      </c>
      <c r="D299" t="s">
        <v>3726</v>
      </c>
      <c r="E299" t="s">
        <v>3727</v>
      </c>
      <c r="F299" t="s">
        <v>2907</v>
      </c>
      <c r="G299" t="s">
        <v>3728</v>
      </c>
    </row>
    <row r="300" spans="1:7" ht="11.25" customHeight="1">
      <c r="A300" s="310" t="s">
        <v>16</v>
      </c>
      <c r="B300" t="s">
        <v>3706</v>
      </c>
      <c r="C300" t="s">
        <v>3707</v>
      </c>
      <c r="D300" t="s">
        <v>3729</v>
      </c>
      <c r="E300" t="s">
        <v>3730</v>
      </c>
      <c r="F300" t="s">
        <v>2907</v>
      </c>
      <c r="G300" t="s">
        <v>3731</v>
      </c>
    </row>
    <row r="301" spans="1:7" ht="11.25" customHeight="1">
      <c r="A301" s="310" t="s">
        <v>16</v>
      </c>
      <c r="B301" t="s">
        <v>3706</v>
      </c>
      <c r="C301" t="s">
        <v>3707</v>
      </c>
      <c r="D301" t="s">
        <v>3732</v>
      </c>
      <c r="E301" t="s">
        <v>3733</v>
      </c>
      <c r="F301" t="s">
        <v>2907</v>
      </c>
      <c r="G301" t="s">
        <v>3734</v>
      </c>
    </row>
    <row r="302" spans="1:7" ht="11.25" customHeight="1">
      <c r="A302" s="310" t="s">
        <v>16</v>
      </c>
      <c r="B302" t="s">
        <v>3706</v>
      </c>
      <c r="C302" t="s">
        <v>3707</v>
      </c>
      <c r="D302" t="s">
        <v>2998</v>
      </c>
      <c r="E302" t="s">
        <v>3735</v>
      </c>
      <c r="F302" t="s">
        <v>2907</v>
      </c>
      <c r="G302" t="s">
        <v>3736</v>
      </c>
    </row>
    <row r="303" spans="1:7" ht="11.25" customHeight="1">
      <c r="A303" s="310" t="s">
        <v>16</v>
      </c>
      <c r="B303" t="s">
        <v>3706</v>
      </c>
      <c r="C303" t="s">
        <v>3707</v>
      </c>
      <c r="D303" t="s">
        <v>3706</v>
      </c>
      <c r="E303" t="s">
        <v>3707</v>
      </c>
      <c r="F303" t="s">
        <v>2908</v>
      </c>
      <c r="G303" t="s">
        <v>3737</v>
      </c>
    </row>
    <row r="304" spans="1:7" ht="11.25" customHeight="1">
      <c r="A304" s="310" t="s">
        <v>16</v>
      </c>
      <c r="B304" t="s">
        <v>3706</v>
      </c>
      <c r="C304" t="s">
        <v>3707</v>
      </c>
      <c r="D304" t="s">
        <v>3738</v>
      </c>
      <c r="E304" t="s">
        <v>3739</v>
      </c>
      <c r="F304" t="s">
        <v>3032</v>
      </c>
      <c r="G304" t="s">
        <v>3740</v>
      </c>
    </row>
    <row r="305" spans="1:7" ht="11.25" customHeight="1">
      <c r="A305" s="310" t="s">
        <v>16</v>
      </c>
      <c r="B305" t="s">
        <v>3741</v>
      </c>
      <c r="C305" t="s">
        <v>3742</v>
      </c>
      <c r="D305" t="s">
        <v>3743</v>
      </c>
      <c r="E305" t="s">
        <v>3744</v>
      </c>
      <c r="F305" t="s">
        <v>2907</v>
      </c>
      <c r="G305" t="s">
        <v>3745</v>
      </c>
    </row>
    <row r="306" spans="1:7" ht="11.25" customHeight="1">
      <c r="A306" s="310" t="s">
        <v>16</v>
      </c>
      <c r="B306" t="s">
        <v>3741</v>
      </c>
      <c r="C306" t="s">
        <v>3742</v>
      </c>
      <c r="D306" t="s">
        <v>3746</v>
      </c>
      <c r="E306" t="s">
        <v>3747</v>
      </c>
      <c r="F306" t="s">
        <v>2907</v>
      </c>
      <c r="G306" t="s">
        <v>3748</v>
      </c>
    </row>
    <row r="307" spans="1:7" ht="11.25" customHeight="1">
      <c r="A307" s="310" t="s">
        <v>16</v>
      </c>
      <c r="B307" t="s">
        <v>3741</v>
      </c>
      <c r="C307" t="s">
        <v>3742</v>
      </c>
      <c r="D307" t="s">
        <v>3749</v>
      </c>
      <c r="E307" t="s">
        <v>3750</v>
      </c>
      <c r="F307" t="s">
        <v>2907</v>
      </c>
      <c r="G307" t="s">
        <v>3751</v>
      </c>
    </row>
    <row r="308" spans="1:7" ht="11.25" customHeight="1">
      <c r="A308" s="310" t="s">
        <v>16</v>
      </c>
      <c r="B308" t="s">
        <v>3741</v>
      </c>
      <c r="C308" t="s">
        <v>3742</v>
      </c>
      <c r="D308" t="s">
        <v>3752</v>
      </c>
      <c r="E308" t="s">
        <v>3753</v>
      </c>
      <c r="F308" t="s">
        <v>2907</v>
      </c>
      <c r="G308" t="s">
        <v>3754</v>
      </c>
    </row>
    <row r="309" spans="1:7" ht="11.25" customHeight="1">
      <c r="A309" s="310" t="s">
        <v>16</v>
      </c>
      <c r="B309" t="s">
        <v>3741</v>
      </c>
      <c r="C309" t="s">
        <v>3742</v>
      </c>
      <c r="D309" t="s">
        <v>3755</v>
      </c>
      <c r="E309" t="s">
        <v>3756</v>
      </c>
      <c r="F309" t="s">
        <v>2907</v>
      </c>
      <c r="G309" t="s">
        <v>3757</v>
      </c>
    </row>
    <row r="310" spans="1:7" ht="11.25" customHeight="1">
      <c r="A310" s="310" t="s">
        <v>16</v>
      </c>
      <c r="B310" t="s">
        <v>3741</v>
      </c>
      <c r="C310" t="s">
        <v>3742</v>
      </c>
      <c r="D310" t="s">
        <v>3758</v>
      </c>
      <c r="E310" t="s">
        <v>3759</v>
      </c>
      <c r="F310" t="s">
        <v>2907</v>
      </c>
      <c r="G310" t="s">
        <v>3760</v>
      </c>
    </row>
    <row r="311" spans="1:7" ht="11.25" customHeight="1">
      <c r="A311" s="310" t="s">
        <v>16</v>
      </c>
      <c r="B311" t="s">
        <v>3741</v>
      </c>
      <c r="C311" t="s">
        <v>3742</v>
      </c>
      <c r="D311" t="s">
        <v>3761</v>
      </c>
      <c r="E311" t="s">
        <v>3762</v>
      </c>
      <c r="F311" t="s">
        <v>2907</v>
      </c>
      <c r="G311" t="s">
        <v>3763</v>
      </c>
    </row>
    <row r="312" spans="1:7" ht="11.25" customHeight="1">
      <c r="A312" s="310" t="s">
        <v>16</v>
      </c>
      <c r="B312" t="s">
        <v>3741</v>
      </c>
      <c r="C312" t="s">
        <v>3742</v>
      </c>
      <c r="D312" t="s">
        <v>3764</v>
      </c>
      <c r="E312" t="s">
        <v>3765</v>
      </c>
      <c r="F312" t="s">
        <v>2907</v>
      </c>
      <c r="G312" t="s">
        <v>3766</v>
      </c>
    </row>
    <row r="313" spans="1:7" ht="11.25" customHeight="1">
      <c r="A313" s="310" t="s">
        <v>16</v>
      </c>
      <c r="B313" t="s">
        <v>3741</v>
      </c>
      <c r="C313" t="s">
        <v>3742</v>
      </c>
      <c r="D313" t="s">
        <v>3741</v>
      </c>
      <c r="E313" t="s">
        <v>3742</v>
      </c>
      <c r="F313" t="s">
        <v>2908</v>
      </c>
      <c r="G313" t="s">
        <v>3767</v>
      </c>
    </row>
    <row r="314" spans="1:7" ht="11.25" customHeight="1">
      <c r="A314" s="310" t="s">
        <v>16</v>
      </c>
      <c r="B314" t="s">
        <v>3741</v>
      </c>
      <c r="C314" t="s">
        <v>3742</v>
      </c>
      <c r="D314" t="s">
        <v>3768</v>
      </c>
      <c r="E314" t="s">
        <v>3769</v>
      </c>
      <c r="F314" t="s">
        <v>2977</v>
      </c>
      <c r="G314" t="s">
        <v>3770</v>
      </c>
    </row>
    <row r="315" spans="1:7" ht="11.25" customHeight="1">
      <c r="A315" s="310" t="s">
        <v>16</v>
      </c>
      <c r="B315" t="s">
        <v>3771</v>
      </c>
      <c r="C315" t="s">
        <v>3772</v>
      </c>
      <c r="D315" t="s">
        <v>3773</v>
      </c>
      <c r="E315" t="s">
        <v>3774</v>
      </c>
      <c r="F315" t="s">
        <v>2907</v>
      </c>
      <c r="G315" t="s">
        <v>3775</v>
      </c>
    </row>
    <row r="316" spans="1:7" ht="11.25" customHeight="1">
      <c r="A316" s="310" t="s">
        <v>16</v>
      </c>
      <c r="B316" t="s">
        <v>3771</v>
      </c>
      <c r="C316" t="s">
        <v>3772</v>
      </c>
      <c r="D316" t="s">
        <v>3053</v>
      </c>
      <c r="E316" t="s">
        <v>3776</v>
      </c>
      <c r="F316" t="s">
        <v>2907</v>
      </c>
      <c r="G316" t="s">
        <v>3777</v>
      </c>
    </row>
    <row r="317" spans="1:7" ht="11.25" customHeight="1">
      <c r="A317" s="310" t="s">
        <v>16</v>
      </c>
      <c r="B317" t="s">
        <v>3771</v>
      </c>
      <c r="C317" t="s">
        <v>3772</v>
      </c>
      <c r="D317" t="s">
        <v>3778</v>
      </c>
      <c r="E317" t="s">
        <v>3779</v>
      </c>
      <c r="F317" t="s">
        <v>2907</v>
      </c>
      <c r="G317" t="s">
        <v>3780</v>
      </c>
    </row>
    <row r="318" spans="1:7" ht="11.25" customHeight="1">
      <c r="A318" s="310" t="s">
        <v>16</v>
      </c>
      <c r="B318" t="s">
        <v>3771</v>
      </c>
      <c r="C318" t="s">
        <v>3772</v>
      </c>
      <c r="D318" t="s">
        <v>3755</v>
      </c>
      <c r="E318" t="s">
        <v>3781</v>
      </c>
      <c r="F318" t="s">
        <v>2907</v>
      </c>
      <c r="G318" t="s">
        <v>3782</v>
      </c>
    </row>
    <row r="319" spans="1:7" ht="11.25" customHeight="1">
      <c r="A319" s="310" t="s">
        <v>16</v>
      </c>
      <c r="B319" t="s">
        <v>3771</v>
      </c>
      <c r="C319" t="s">
        <v>3772</v>
      </c>
      <c r="D319" t="s">
        <v>3783</v>
      </c>
      <c r="E319" t="s">
        <v>3784</v>
      </c>
      <c r="F319" t="s">
        <v>2907</v>
      </c>
      <c r="G319" t="s">
        <v>3785</v>
      </c>
    </row>
    <row r="320" spans="1:7" ht="11.25" customHeight="1">
      <c r="A320" s="310" t="s">
        <v>16</v>
      </c>
      <c r="B320" t="s">
        <v>3771</v>
      </c>
      <c r="C320" t="s">
        <v>3772</v>
      </c>
      <c r="D320" t="s">
        <v>3732</v>
      </c>
      <c r="E320" t="s">
        <v>3786</v>
      </c>
      <c r="F320" t="s">
        <v>2907</v>
      </c>
      <c r="G320" t="s">
        <v>3787</v>
      </c>
    </row>
    <row r="321" spans="1:7" ht="11.25" customHeight="1">
      <c r="A321" s="310" t="s">
        <v>16</v>
      </c>
      <c r="B321" t="s">
        <v>3771</v>
      </c>
      <c r="C321" t="s">
        <v>3772</v>
      </c>
      <c r="D321" t="s">
        <v>3788</v>
      </c>
      <c r="E321" t="s">
        <v>3789</v>
      </c>
      <c r="F321" t="s">
        <v>2907</v>
      </c>
      <c r="G321" t="s">
        <v>3790</v>
      </c>
    </row>
    <row r="322" spans="1:7" ht="11.25" customHeight="1">
      <c r="A322" s="310" t="s">
        <v>16</v>
      </c>
      <c r="B322" t="s">
        <v>3771</v>
      </c>
      <c r="C322" t="s">
        <v>3772</v>
      </c>
      <c r="D322" t="s">
        <v>3791</v>
      </c>
      <c r="E322" t="s">
        <v>3792</v>
      </c>
      <c r="F322" t="s">
        <v>2907</v>
      </c>
      <c r="G322" t="s">
        <v>3793</v>
      </c>
    </row>
    <row r="323" spans="1:7" ht="11.25" customHeight="1">
      <c r="A323" s="310" t="s">
        <v>16</v>
      </c>
      <c r="B323" t="s">
        <v>3771</v>
      </c>
      <c r="C323" t="s">
        <v>3772</v>
      </c>
      <c r="D323" t="s">
        <v>3771</v>
      </c>
      <c r="E323" t="s">
        <v>3772</v>
      </c>
      <c r="F323" t="s">
        <v>2908</v>
      </c>
      <c r="G323" t="s">
        <v>3794</v>
      </c>
    </row>
    <row r="324" spans="1:7" ht="11.25" customHeight="1">
      <c r="A324" s="310" t="s">
        <v>16</v>
      </c>
      <c r="B324" t="s">
        <v>3771</v>
      </c>
      <c r="C324" t="s">
        <v>3772</v>
      </c>
      <c r="D324" t="s">
        <v>3795</v>
      </c>
      <c r="E324" t="s">
        <v>3796</v>
      </c>
      <c r="F324" t="s">
        <v>2977</v>
      </c>
      <c r="G324" t="s">
        <v>3797</v>
      </c>
    </row>
    <row r="325" spans="1:7" ht="11.25" customHeight="1">
      <c r="A325" s="310" t="s">
        <v>16</v>
      </c>
      <c r="B325" t="s">
        <v>3798</v>
      </c>
      <c r="C325" t="s">
        <v>3799</v>
      </c>
      <c r="D325" t="s">
        <v>3800</v>
      </c>
      <c r="E325" t="s">
        <v>3801</v>
      </c>
      <c r="F325" t="s">
        <v>2907</v>
      </c>
      <c r="G325" t="s">
        <v>3802</v>
      </c>
    </row>
    <row r="326" spans="1:7" ht="11.25" customHeight="1">
      <c r="A326" s="310" t="s">
        <v>16</v>
      </c>
      <c r="B326" t="s">
        <v>3798</v>
      </c>
      <c r="C326" t="s">
        <v>3799</v>
      </c>
      <c r="D326" t="s">
        <v>2913</v>
      </c>
      <c r="E326" t="s">
        <v>3803</v>
      </c>
      <c r="F326" t="s">
        <v>2907</v>
      </c>
      <c r="G326" t="s">
        <v>3804</v>
      </c>
    </row>
    <row r="327" spans="1:7" ht="11.25" customHeight="1">
      <c r="A327" s="310" t="s">
        <v>16</v>
      </c>
      <c r="B327" t="s">
        <v>3798</v>
      </c>
      <c r="C327" t="s">
        <v>3799</v>
      </c>
      <c r="D327" t="s">
        <v>3805</v>
      </c>
      <c r="E327" t="s">
        <v>3806</v>
      </c>
      <c r="F327" t="s">
        <v>2907</v>
      </c>
      <c r="G327" t="s">
        <v>3807</v>
      </c>
    </row>
    <row r="328" spans="1:7" ht="11.25" customHeight="1">
      <c r="A328" s="310" t="s">
        <v>16</v>
      </c>
      <c r="B328" t="s">
        <v>3798</v>
      </c>
      <c r="C328" t="s">
        <v>3799</v>
      </c>
      <c r="D328" t="s">
        <v>3808</v>
      </c>
      <c r="E328" t="s">
        <v>3809</v>
      </c>
      <c r="F328" t="s">
        <v>2907</v>
      </c>
      <c r="G328" t="s">
        <v>3810</v>
      </c>
    </row>
    <row r="329" spans="1:7" ht="11.25" customHeight="1">
      <c r="A329" s="310" t="s">
        <v>16</v>
      </c>
      <c r="B329" t="s">
        <v>3798</v>
      </c>
      <c r="C329" t="s">
        <v>3799</v>
      </c>
      <c r="D329" t="s">
        <v>3811</v>
      </c>
      <c r="E329" t="s">
        <v>3812</v>
      </c>
      <c r="F329" t="s">
        <v>2907</v>
      </c>
      <c r="G329" t="s">
        <v>3813</v>
      </c>
    </row>
    <row r="330" spans="1:7" ht="11.25" customHeight="1">
      <c r="A330" s="310" t="s">
        <v>16</v>
      </c>
      <c r="B330" t="s">
        <v>3798</v>
      </c>
      <c r="C330" t="s">
        <v>3799</v>
      </c>
      <c r="D330" t="s">
        <v>2986</v>
      </c>
      <c r="E330" t="s">
        <v>3814</v>
      </c>
      <c r="F330" t="s">
        <v>2907</v>
      </c>
      <c r="G330" t="s">
        <v>3815</v>
      </c>
    </row>
    <row r="331" spans="1:7" ht="11.25" customHeight="1">
      <c r="A331" s="310" t="s">
        <v>16</v>
      </c>
      <c r="B331" t="s">
        <v>3798</v>
      </c>
      <c r="C331" t="s">
        <v>3799</v>
      </c>
      <c r="D331" t="s">
        <v>3816</v>
      </c>
      <c r="E331" t="s">
        <v>3817</v>
      </c>
      <c r="F331" t="s">
        <v>2907</v>
      </c>
      <c r="G331" t="s">
        <v>3818</v>
      </c>
    </row>
    <row r="332" spans="1:7" ht="11.25" customHeight="1">
      <c r="A332" s="310" t="s">
        <v>16</v>
      </c>
      <c r="B332" t="s">
        <v>3798</v>
      </c>
      <c r="C332" t="s">
        <v>3799</v>
      </c>
      <c r="D332" t="s">
        <v>3819</v>
      </c>
      <c r="E332" t="s">
        <v>3820</v>
      </c>
      <c r="F332" t="s">
        <v>2907</v>
      </c>
      <c r="G332" t="s">
        <v>3821</v>
      </c>
    </row>
    <row r="333" spans="1:7" ht="11.25" customHeight="1">
      <c r="A333" s="310" t="s">
        <v>16</v>
      </c>
      <c r="B333" t="s">
        <v>3798</v>
      </c>
      <c r="C333" t="s">
        <v>3799</v>
      </c>
      <c r="D333" t="s">
        <v>3822</v>
      </c>
      <c r="E333" t="s">
        <v>3823</v>
      </c>
      <c r="F333" t="s">
        <v>2907</v>
      </c>
      <c r="G333" t="s">
        <v>3824</v>
      </c>
    </row>
    <row r="334" spans="1:7" ht="11.25" customHeight="1">
      <c r="A334" s="310" t="s">
        <v>16</v>
      </c>
      <c r="B334" t="s">
        <v>3798</v>
      </c>
      <c r="C334" t="s">
        <v>3799</v>
      </c>
      <c r="D334" t="s">
        <v>3825</v>
      </c>
      <c r="E334" t="s">
        <v>3826</v>
      </c>
      <c r="F334" t="s">
        <v>2907</v>
      </c>
      <c r="G334" t="s">
        <v>3827</v>
      </c>
    </row>
    <row r="335" spans="1:7" ht="11.25" customHeight="1">
      <c r="A335" s="310" t="s">
        <v>16</v>
      </c>
      <c r="B335" t="s">
        <v>3798</v>
      </c>
      <c r="C335" t="s">
        <v>3799</v>
      </c>
      <c r="D335" t="s">
        <v>3828</v>
      </c>
      <c r="E335" t="s">
        <v>3829</v>
      </c>
      <c r="F335" t="s">
        <v>2907</v>
      </c>
      <c r="G335" t="s">
        <v>3830</v>
      </c>
    </row>
    <row r="336" spans="1:7" ht="11.25" customHeight="1">
      <c r="A336" s="310" t="s">
        <v>16</v>
      </c>
      <c r="B336" t="s">
        <v>3798</v>
      </c>
      <c r="C336" t="s">
        <v>3799</v>
      </c>
      <c r="D336" t="s">
        <v>2994</v>
      </c>
      <c r="E336" t="s">
        <v>3831</v>
      </c>
      <c r="F336" t="s">
        <v>2907</v>
      </c>
      <c r="G336" t="s">
        <v>3832</v>
      </c>
    </row>
    <row r="337" spans="1:7" ht="11.25" customHeight="1">
      <c r="A337" s="310" t="s">
        <v>16</v>
      </c>
      <c r="B337" t="s">
        <v>3798</v>
      </c>
      <c r="C337" t="s">
        <v>3799</v>
      </c>
      <c r="D337" t="s">
        <v>3833</v>
      </c>
      <c r="E337" t="s">
        <v>3834</v>
      </c>
      <c r="F337" t="s">
        <v>2907</v>
      </c>
      <c r="G337" t="s">
        <v>3835</v>
      </c>
    </row>
    <row r="338" spans="1:7" ht="11.25" customHeight="1">
      <c r="A338" s="310" t="s">
        <v>16</v>
      </c>
      <c r="B338" t="s">
        <v>3798</v>
      </c>
      <c r="C338" t="s">
        <v>3799</v>
      </c>
      <c r="D338" t="s">
        <v>3836</v>
      </c>
      <c r="E338" t="s">
        <v>3837</v>
      </c>
      <c r="F338" t="s">
        <v>2907</v>
      </c>
      <c r="G338" t="s">
        <v>3838</v>
      </c>
    </row>
    <row r="339" spans="1:7" ht="11.25" customHeight="1">
      <c r="A339" s="310" t="s">
        <v>16</v>
      </c>
      <c r="B339" t="s">
        <v>3798</v>
      </c>
      <c r="C339" t="s">
        <v>3799</v>
      </c>
      <c r="D339" t="s">
        <v>3556</v>
      </c>
      <c r="E339" t="s">
        <v>3839</v>
      </c>
      <c r="F339" t="s">
        <v>2907</v>
      </c>
      <c r="G339" t="s">
        <v>3840</v>
      </c>
    </row>
    <row r="340" spans="1:7" ht="11.25" customHeight="1">
      <c r="A340" s="310" t="s">
        <v>16</v>
      </c>
      <c r="B340" t="s">
        <v>3798</v>
      </c>
      <c r="C340" t="s">
        <v>3799</v>
      </c>
      <c r="D340" t="s">
        <v>3841</v>
      </c>
      <c r="E340" t="s">
        <v>3842</v>
      </c>
      <c r="F340" t="s">
        <v>2907</v>
      </c>
      <c r="G340" t="s">
        <v>3843</v>
      </c>
    </row>
    <row r="341" spans="1:7" ht="11.25" customHeight="1">
      <c r="A341" s="310" t="s">
        <v>16</v>
      </c>
      <c r="B341" t="s">
        <v>3798</v>
      </c>
      <c r="C341" t="s">
        <v>3799</v>
      </c>
      <c r="D341" t="s">
        <v>3844</v>
      </c>
      <c r="E341" t="s">
        <v>3845</v>
      </c>
      <c r="F341" t="s">
        <v>2907</v>
      </c>
      <c r="G341" t="s">
        <v>3846</v>
      </c>
    </row>
    <row r="342" spans="1:7" ht="11.25" customHeight="1">
      <c r="A342" s="310" t="s">
        <v>16</v>
      </c>
      <c r="B342" t="s">
        <v>3798</v>
      </c>
      <c r="C342" t="s">
        <v>3799</v>
      </c>
      <c r="D342" t="s">
        <v>3847</v>
      </c>
      <c r="E342" t="s">
        <v>3848</v>
      </c>
      <c r="F342" t="s">
        <v>2907</v>
      </c>
      <c r="G342" t="s">
        <v>3849</v>
      </c>
    </row>
    <row r="343" spans="1:7" ht="11.25" customHeight="1">
      <c r="A343" s="310" t="s">
        <v>16</v>
      </c>
      <c r="B343" t="s">
        <v>3798</v>
      </c>
      <c r="C343" t="s">
        <v>3799</v>
      </c>
      <c r="D343" t="s">
        <v>3798</v>
      </c>
      <c r="E343" t="s">
        <v>3799</v>
      </c>
      <c r="F343" t="s">
        <v>2908</v>
      </c>
      <c r="G343" t="s">
        <v>3850</v>
      </c>
    </row>
    <row r="344" spans="1:7" ht="11.25" customHeight="1">
      <c r="A344" s="310" t="s">
        <v>16</v>
      </c>
      <c r="B344" t="s">
        <v>3851</v>
      </c>
      <c r="C344" t="s">
        <v>3852</v>
      </c>
      <c r="D344" t="s">
        <v>3851</v>
      </c>
      <c r="E344" t="s">
        <v>3852</v>
      </c>
      <c r="F344" t="s">
        <v>3853</v>
      </c>
      <c r="G344" t="s">
        <v>3854</v>
      </c>
    </row>
    <row r="345" spans="1:7" ht="11.25" customHeight="1">
      <c r="A345" s="310" t="s">
        <v>16</v>
      </c>
      <c r="B345" t="s">
        <v>3855</v>
      </c>
      <c r="C345" t="s">
        <v>3856</v>
      </c>
      <c r="D345" t="s">
        <v>3855</v>
      </c>
      <c r="E345" t="s">
        <v>3856</v>
      </c>
      <c r="F345" t="s">
        <v>3853</v>
      </c>
      <c r="G345" t="s">
        <v>3857</v>
      </c>
    </row>
    <row r="346" spans="1:7" ht="11.25" customHeight="1">
      <c r="A346" s="310" t="s">
        <v>16</v>
      </c>
      <c r="B346" t="s">
        <v>101</v>
      </c>
      <c r="C346" t="s">
        <v>102</v>
      </c>
      <c r="D346" t="s">
        <v>101</v>
      </c>
      <c r="E346" t="s">
        <v>102</v>
      </c>
      <c r="F346" t="s">
        <v>3853</v>
      </c>
      <c r="G346" t="s">
        <v>100</v>
      </c>
    </row>
    <row r="347" spans="1:7" ht="11.25" customHeight="1">
      <c r="A347" s="310" t="s">
        <v>16</v>
      </c>
      <c r="B347" t="s">
        <v>3858</v>
      </c>
      <c r="C347" t="s">
        <v>3859</v>
      </c>
      <c r="D347" t="s">
        <v>3858</v>
      </c>
      <c r="E347" t="s">
        <v>3859</v>
      </c>
      <c r="F347" t="s">
        <v>3853</v>
      </c>
      <c r="G347" t="s">
        <v>3860</v>
      </c>
    </row>
    <row r="348" spans="1:7" ht="11.25" customHeight="1">
      <c r="A348" s="310" t="s">
        <v>16</v>
      </c>
      <c r="B348" t="s">
        <v>3861</v>
      </c>
      <c r="C348" t="s">
        <v>3862</v>
      </c>
      <c r="D348" t="s">
        <v>3861</v>
      </c>
      <c r="E348" t="s">
        <v>3862</v>
      </c>
      <c r="F348" t="s">
        <v>3853</v>
      </c>
      <c r="G348" t="s">
        <v>3863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90A41-5F77-63BF-3CF3-32C29732C742}">
  <sheetPr>
    <tabColor rgb="FFFFCC99"/>
  </sheetPr>
  <dimension ref="A1:I6"/>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3864</v>
      </c>
      <c r="B1" s="766" t="s">
        <v>3865</v>
      </c>
      <c r="C1" s="1086" t="s">
        <v>3866</v>
      </c>
      <c r="D1" s="766" t="s">
        <v>3867</v>
      </c>
      <c r="E1" s="766" t="s">
        <v>3868</v>
      </c>
      <c r="F1" s="1086" t="s">
        <v>3869</v>
      </c>
      <c r="G1" s="1086" t="s">
        <v>3870</v>
      </c>
      <c r="H1" s="1086" t="s">
        <v>3871</v>
      </c>
      <c r="I1" s="1086" t="s">
        <v>3872</v>
      </c>
    </row>
    <row r="2" spans="1:9" ht="11.25" customHeight="1">
      <c r="A2" s="1618" t="s">
        <v>110</v>
      </c>
      <c r="B2" s="1618" t="s">
        <v>3873</v>
      </c>
      <c r="C2" s="1618" t="s">
        <v>28</v>
      </c>
      <c r="D2" s="1618" t="s">
        <v>3874</v>
      </c>
      <c r="E2" s="1618" t="s">
        <v>3875</v>
      </c>
      <c r="F2" s="1618" t="s">
        <v>28</v>
      </c>
      <c r="G2" s="1618" t="s">
        <v>28</v>
      </c>
      <c r="H2" s="1618" t="s">
        <v>28</v>
      </c>
      <c r="I2" s="1618" t="s">
        <v>28</v>
      </c>
    </row>
    <row r="3" spans="1:9" ht="11.25" customHeight="1">
      <c r="A3" s="1618" t="s">
        <v>111</v>
      </c>
      <c r="B3" s="1618" t="s">
        <v>3876</v>
      </c>
      <c r="C3" s="1618" t="s">
        <v>28</v>
      </c>
      <c r="D3" s="1618" t="s">
        <v>3877</v>
      </c>
      <c r="E3" s="1618" t="s">
        <v>3878</v>
      </c>
      <c r="F3" s="1618" t="s">
        <v>28</v>
      </c>
      <c r="G3" s="1618" t="s">
        <v>28</v>
      </c>
      <c r="H3" s="1618" t="s">
        <v>28</v>
      </c>
      <c r="I3" s="1618" t="s">
        <v>28</v>
      </c>
    </row>
    <row r="4" spans="1:9" ht="11.25" customHeight="1">
      <c r="A4" s="1618" t="s">
        <v>91</v>
      </c>
      <c r="B4" s="1618" t="s">
        <v>3879</v>
      </c>
      <c r="C4" s="1618" t="s">
        <v>28</v>
      </c>
      <c r="D4" s="1618" t="s">
        <v>3880</v>
      </c>
      <c r="E4" s="1618" t="s">
        <v>3881</v>
      </c>
      <c r="F4" s="1618" t="s">
        <v>28</v>
      </c>
      <c r="G4" s="1618" t="s">
        <v>28</v>
      </c>
      <c r="H4" s="1618" t="s">
        <v>28</v>
      </c>
      <c r="I4" s="1618" t="s">
        <v>28</v>
      </c>
    </row>
    <row r="5" spans="1:9" ht="11.25" customHeight="1">
      <c r="A5" s="1618" t="s">
        <v>92</v>
      </c>
      <c r="B5" s="1618" t="s">
        <v>3882</v>
      </c>
      <c r="C5" s="1618" t="s">
        <v>28</v>
      </c>
      <c r="D5" s="1618" t="s">
        <v>3883</v>
      </c>
      <c r="E5" s="1618" t="s">
        <v>3875</v>
      </c>
      <c r="F5" s="1618" t="s">
        <v>28</v>
      </c>
      <c r="G5" s="1618" t="s">
        <v>28</v>
      </c>
      <c r="H5" s="1618" t="s">
        <v>28</v>
      </c>
      <c r="I5" s="1618" t="s">
        <v>28</v>
      </c>
    </row>
    <row r="6" spans="1:9" ht="11.25" customHeight="1">
      <c r="A6" s="1618" t="s">
        <v>112</v>
      </c>
      <c r="B6" s="1618" t="s">
        <v>3884</v>
      </c>
      <c r="C6" s="1618" t="s">
        <v>28</v>
      </c>
      <c r="D6" s="1618" t="s">
        <v>3885</v>
      </c>
      <c r="E6" s="1618" t="s">
        <v>3881</v>
      </c>
      <c r="F6" s="1618" t="s">
        <v>28</v>
      </c>
      <c r="G6" s="1618" t="s">
        <v>28</v>
      </c>
      <c r="H6" s="1618" t="s">
        <v>28</v>
      </c>
      <c r="I6" s="1618"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1A8AD-FF49-CF7D-7AFE-3F79AB06181D}">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8A97B-0281-D5FB-FEA6-AC0EB4FE4079}">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131</v>
      </c>
      <c r="B1" s="121" t="s">
        <v>3886</v>
      </c>
    </row>
    <row r="2" spans="1:2" ht="11.25" customHeight="1">
      <c r="A2" s="121" t="s">
        <v>99</v>
      </c>
      <c r="B2" s="121" t="s">
        <v>3887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093C1-D54A-1B75-CF41-483962AF4EBD}">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3888</v>
      </c>
      <c r="B1" s="766" t="s">
        <v>3889</v>
      </c>
    </row>
    <row r="2" spans="1:2" ht="11.25" customHeight="1">
      <c r="A2" s="766">
        <v>4213775</v>
      </c>
      <c r="B2" s="766" t="s">
        <v>1236</v>
      </c>
    </row>
    <row r="3" spans="1:2" ht="11.25" customHeight="1">
      <c r="A3" s="766">
        <v>4213784</v>
      </c>
      <c r="B3" s="766" t="s">
        <v>1268</v>
      </c>
    </row>
    <row r="4" spans="1:2" ht="11.25" customHeight="1">
      <c r="A4" s="766">
        <v>4213781</v>
      </c>
      <c r="B4" s="766" t="s">
        <v>1261</v>
      </c>
    </row>
    <row r="5" spans="1:2" ht="11.25" customHeight="1">
      <c r="A5" s="766">
        <v>4213776</v>
      </c>
      <c r="B5" s="766" t="s">
        <v>173</v>
      </c>
    </row>
    <row r="6" spans="1:2" ht="11.25" customHeight="1">
      <c r="A6" s="766">
        <v>4213777</v>
      </c>
      <c r="B6" s="766" t="s">
        <v>179</v>
      </c>
    </row>
    <row r="7" spans="1:2" ht="11.25" customHeight="1">
      <c r="A7" s="766">
        <v>4213778</v>
      </c>
      <c r="B7" s="766" t="s">
        <v>187</v>
      </c>
    </row>
    <row r="8" spans="1:2" ht="11.25" customHeight="1">
      <c r="A8" s="766">
        <v>4213780</v>
      </c>
      <c r="B8" s="766" t="s">
        <v>193</v>
      </c>
    </row>
    <row r="9" spans="1:2" ht="11.25" customHeight="1">
      <c r="A9" s="766">
        <v>4213779</v>
      </c>
      <c r="B9" s="766" t="s">
        <v>1400</v>
      </c>
    </row>
    <row r="10" spans="1:2" ht="11.25" customHeight="1">
      <c r="A10" s="766">
        <v>4213783</v>
      </c>
      <c r="B10" s="766" t="s">
        <v>1414</v>
      </c>
    </row>
    <row r="11" spans="1:2" ht="11.25" customHeight="1">
      <c r="A11" s="766">
        <v>4213782</v>
      </c>
      <c r="B11" s="766" t="s">
        <v>199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DCF37-1C1E-E5EF-4F3F-5B9025786182}">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3888</v>
      </c>
      <c r="B1" s="766" t="s">
        <v>3890</v>
      </c>
    </row>
    <row r="2" spans="1:2" ht="11.25" customHeight="1">
      <c r="A2" s="766" t="s">
        <v>3891</v>
      </c>
      <c r="B2" s="766" t="s">
        <v>1512</v>
      </c>
    </row>
    <row r="3" spans="1:2" ht="11.25" customHeight="1">
      <c r="A3" s="766" t="s">
        <v>3892</v>
      </c>
      <c r="B3" s="766" t="s">
        <v>1522</v>
      </c>
    </row>
    <row r="4" spans="1:2" ht="11.25" customHeight="1">
      <c r="A4" s="766" t="s">
        <v>3893</v>
      </c>
      <c r="B4" s="766" t="s">
        <v>1531</v>
      </c>
    </row>
    <row r="5" spans="1:2" ht="11.25" customHeight="1">
      <c r="A5" s="766" t="s">
        <v>3894</v>
      </c>
      <c r="B5" s="766" t="s">
        <v>1540</v>
      </c>
    </row>
    <row r="6" spans="1:2" ht="11.25" customHeight="1">
      <c r="A6" s="766" t="s">
        <v>3895</v>
      </c>
      <c r="B6" s="766" t="s">
        <v>1546</v>
      </c>
    </row>
    <row r="7" spans="1:2" ht="11.25" customHeight="1">
      <c r="A7" s="766" t="s">
        <v>3896</v>
      </c>
      <c r="B7" s="766" t="s">
        <v>1554</v>
      </c>
    </row>
    <row r="8" spans="1:2" ht="11.25" customHeight="1">
      <c r="A8" s="766" t="s">
        <v>3897</v>
      </c>
      <c r="B8" s="766" t="s">
        <v>1561</v>
      </c>
    </row>
    <row r="9" spans="1:2" ht="11.25" customHeight="1">
      <c r="A9" s="766" t="s">
        <v>3898</v>
      </c>
      <c r="B9" s="766" t="s">
        <v>1567</v>
      </c>
    </row>
    <row r="10" spans="1:2" ht="11.25" customHeight="1">
      <c r="A10" s="766" t="s">
        <v>3899</v>
      </c>
      <c r="B10" s="766" t="s">
        <v>1571</v>
      </c>
    </row>
    <row r="11" spans="1:2" ht="11.25" customHeight="1">
      <c r="A11" s="766" t="s">
        <v>3900</v>
      </c>
      <c r="B11" s="766" t="s">
        <v>1578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0AE71-BADE-0232-4136-4342A55AD61B}">
  <sheetPr>
    <tabColor rgb="FFFFCC99"/>
  </sheetPr>
  <dimension ref="A1:G348"/>
  <sheetViews>
    <sheetView showGridLines="0" workbookViewId="0"/>
  </sheetViews>
  <sheetFormatPr defaultRowHeight="11.25" customHeight="1"/>
  <sheetData>
    <row r="1" spans="1:7" ht="11.25" customHeight="1">
      <c r="A1" s="310" t="s">
        <v>2896</v>
      </c>
      <c r="B1" s="310" t="s">
        <v>2897</v>
      </c>
      <c r="C1" s="310" t="s">
        <v>2898</v>
      </c>
      <c r="D1" s="310" t="s">
        <v>2899</v>
      </c>
      <c r="E1" t="s">
        <v>2900</v>
      </c>
      <c r="F1" t="s">
        <v>2901</v>
      </c>
      <c r="G1" t="s">
        <v>2902</v>
      </c>
    </row>
    <row r="2" spans="1:7" ht="11.25" customHeight="1">
      <c r="A2" t="s">
        <v>16</v>
      </c>
      <c r="B2" t="s">
        <v>2903</v>
      </c>
      <c r="C2" t="s">
        <v>2904</v>
      </c>
      <c r="D2" t="s">
        <v>2905</v>
      </c>
      <c r="E2" t="s">
        <v>2906</v>
      </c>
      <c r="F2" t="s">
        <v>2907</v>
      </c>
      <c r="G2" t="s">
        <v>110</v>
      </c>
    </row>
    <row r="3" spans="1:7" ht="11.25" customHeight="1">
      <c r="A3" t="s">
        <v>16</v>
      </c>
      <c r="B3" t="s">
        <v>2903</v>
      </c>
      <c r="C3" t="s">
        <v>2904</v>
      </c>
      <c r="D3" t="s">
        <v>2903</v>
      </c>
      <c r="E3" t="s">
        <v>2904</v>
      </c>
      <c r="F3" t="s">
        <v>2908</v>
      </c>
      <c r="G3" t="s">
        <v>111</v>
      </c>
    </row>
    <row r="4" spans="1:7" ht="11.25" customHeight="1">
      <c r="A4" t="s">
        <v>16</v>
      </c>
      <c r="B4" t="s">
        <v>2903</v>
      </c>
      <c r="C4" t="s">
        <v>2904</v>
      </c>
      <c r="D4" t="s">
        <v>2909</v>
      </c>
      <c r="E4" t="s">
        <v>2910</v>
      </c>
      <c r="F4" t="s">
        <v>2907</v>
      </c>
      <c r="G4" t="s">
        <v>91</v>
      </c>
    </row>
    <row r="5" spans="1:7" ht="11.25" customHeight="1">
      <c r="A5" t="s">
        <v>16</v>
      </c>
      <c r="B5" t="s">
        <v>2903</v>
      </c>
      <c r="C5" t="s">
        <v>2904</v>
      </c>
      <c r="D5" t="s">
        <v>2911</v>
      </c>
      <c r="E5" t="s">
        <v>2912</v>
      </c>
      <c r="F5" t="s">
        <v>2907</v>
      </c>
      <c r="G5" t="s">
        <v>92</v>
      </c>
    </row>
    <row r="6" spans="1:7" ht="11.25" customHeight="1">
      <c r="A6" t="s">
        <v>16</v>
      </c>
      <c r="B6" t="s">
        <v>2903</v>
      </c>
      <c r="C6" t="s">
        <v>2904</v>
      </c>
      <c r="D6" t="s">
        <v>2913</v>
      </c>
      <c r="E6" t="s">
        <v>2914</v>
      </c>
      <c r="F6" t="s">
        <v>2907</v>
      </c>
      <c r="G6" t="s">
        <v>112</v>
      </c>
    </row>
    <row r="7" spans="1:7" ht="11.25" customHeight="1">
      <c r="A7" t="s">
        <v>16</v>
      </c>
      <c r="B7" t="s">
        <v>2903</v>
      </c>
      <c r="C7" t="s">
        <v>2904</v>
      </c>
      <c r="D7" t="s">
        <v>2915</v>
      </c>
      <c r="E7" t="s">
        <v>2916</v>
      </c>
      <c r="F7" t="s">
        <v>2907</v>
      </c>
      <c r="G7" t="s">
        <v>93</v>
      </c>
    </row>
    <row r="8" spans="1:7" ht="11.25" customHeight="1">
      <c r="A8" t="s">
        <v>16</v>
      </c>
      <c r="B8" t="s">
        <v>2903</v>
      </c>
      <c r="C8" t="s">
        <v>2904</v>
      </c>
      <c r="D8" t="s">
        <v>2917</v>
      </c>
      <c r="E8" t="s">
        <v>2918</v>
      </c>
      <c r="F8" t="s">
        <v>2907</v>
      </c>
      <c r="G8" t="s">
        <v>94</v>
      </c>
    </row>
    <row r="9" spans="1:7" ht="11.25" customHeight="1">
      <c r="A9" t="s">
        <v>16</v>
      </c>
      <c r="B9" t="s">
        <v>2903</v>
      </c>
      <c r="C9" t="s">
        <v>2904</v>
      </c>
      <c r="D9" t="s">
        <v>2919</v>
      </c>
      <c r="E9" t="s">
        <v>2920</v>
      </c>
      <c r="F9" t="s">
        <v>2907</v>
      </c>
      <c r="G9" t="s">
        <v>113</v>
      </c>
    </row>
    <row r="10" spans="1:7" ht="11.25" customHeight="1">
      <c r="A10" t="s">
        <v>16</v>
      </c>
      <c r="B10" t="s">
        <v>2903</v>
      </c>
      <c r="C10" t="s">
        <v>2904</v>
      </c>
      <c r="D10" t="s">
        <v>2921</v>
      </c>
      <c r="E10" t="s">
        <v>2922</v>
      </c>
      <c r="F10" t="s">
        <v>2907</v>
      </c>
      <c r="G10" t="s">
        <v>149</v>
      </c>
    </row>
    <row r="11" spans="1:7" ht="11.25" customHeight="1">
      <c r="A11" t="s">
        <v>16</v>
      </c>
      <c r="B11" t="s">
        <v>2903</v>
      </c>
      <c r="C11" t="s">
        <v>2904</v>
      </c>
      <c r="D11" t="s">
        <v>2923</v>
      </c>
      <c r="E11" t="s">
        <v>2924</v>
      </c>
      <c r="F11" t="s">
        <v>2907</v>
      </c>
      <c r="G11" t="s">
        <v>150</v>
      </c>
    </row>
    <row r="12" spans="1:7" ht="11.25" customHeight="1">
      <c r="A12" t="s">
        <v>16</v>
      </c>
      <c r="B12" t="s">
        <v>2903</v>
      </c>
      <c r="C12" t="s">
        <v>2904</v>
      </c>
      <c r="D12" t="s">
        <v>2925</v>
      </c>
      <c r="E12" t="s">
        <v>2926</v>
      </c>
      <c r="F12" t="s">
        <v>2907</v>
      </c>
      <c r="G12" t="s">
        <v>151</v>
      </c>
    </row>
    <row r="13" spans="1:7" ht="11.25" customHeight="1">
      <c r="A13" t="s">
        <v>16</v>
      </c>
      <c r="B13" t="s">
        <v>2903</v>
      </c>
      <c r="C13" t="s">
        <v>2904</v>
      </c>
      <c r="D13" t="s">
        <v>2927</v>
      </c>
      <c r="E13" t="s">
        <v>2928</v>
      </c>
      <c r="F13" t="s">
        <v>2907</v>
      </c>
      <c r="G13" t="s">
        <v>152</v>
      </c>
    </row>
    <row r="14" spans="1:7" ht="11.25" customHeight="1">
      <c r="A14" t="s">
        <v>16</v>
      </c>
      <c r="B14" t="s">
        <v>2903</v>
      </c>
      <c r="C14" t="s">
        <v>2904</v>
      </c>
      <c r="D14" t="s">
        <v>2929</v>
      </c>
      <c r="E14" t="s">
        <v>2930</v>
      </c>
      <c r="F14" t="s">
        <v>2907</v>
      </c>
      <c r="G14" t="s">
        <v>153</v>
      </c>
    </row>
    <row r="15" spans="1:7" ht="11.25" customHeight="1">
      <c r="A15" t="s">
        <v>16</v>
      </c>
      <c r="B15" t="s">
        <v>2903</v>
      </c>
      <c r="C15" t="s">
        <v>2904</v>
      </c>
      <c r="D15" t="s">
        <v>2931</v>
      </c>
      <c r="E15" t="s">
        <v>2932</v>
      </c>
      <c r="F15" t="s">
        <v>2907</v>
      </c>
      <c r="G15" t="s">
        <v>154</v>
      </c>
    </row>
    <row r="16" spans="1:7" ht="11.25" customHeight="1">
      <c r="A16" t="s">
        <v>16</v>
      </c>
      <c r="B16" t="s">
        <v>2903</v>
      </c>
      <c r="C16" t="s">
        <v>2904</v>
      </c>
      <c r="D16" t="s">
        <v>2933</v>
      </c>
      <c r="E16" t="s">
        <v>2934</v>
      </c>
      <c r="F16" t="s">
        <v>2907</v>
      </c>
      <c r="G16" t="s">
        <v>1474</v>
      </c>
    </row>
    <row r="17" spans="1:7" ht="11.25" customHeight="1">
      <c r="A17" t="s">
        <v>16</v>
      </c>
      <c r="B17" t="s">
        <v>2935</v>
      </c>
      <c r="C17" t="s">
        <v>2936</v>
      </c>
      <c r="D17" t="s">
        <v>2935</v>
      </c>
      <c r="E17" t="s">
        <v>2936</v>
      </c>
      <c r="F17" t="s">
        <v>2908</v>
      </c>
      <c r="G17" t="s">
        <v>1480</v>
      </c>
    </row>
    <row r="18" spans="1:7" ht="11.25" customHeight="1">
      <c r="A18" t="s">
        <v>16</v>
      </c>
      <c r="B18" t="s">
        <v>2935</v>
      </c>
      <c r="C18" t="s">
        <v>2936</v>
      </c>
      <c r="D18" t="s">
        <v>2937</v>
      </c>
      <c r="E18" t="s">
        <v>2938</v>
      </c>
      <c r="F18" t="s">
        <v>2907</v>
      </c>
      <c r="G18" t="s">
        <v>1492</v>
      </c>
    </row>
    <row r="19" spans="1:7" ht="11.25" customHeight="1">
      <c r="A19" t="s">
        <v>16</v>
      </c>
      <c r="B19" t="s">
        <v>2935</v>
      </c>
      <c r="C19" t="s">
        <v>2936</v>
      </c>
      <c r="D19" t="s">
        <v>2939</v>
      </c>
      <c r="E19" t="s">
        <v>2940</v>
      </c>
      <c r="F19" t="s">
        <v>2907</v>
      </c>
      <c r="G19" t="s">
        <v>1506</v>
      </c>
    </row>
    <row r="20" spans="1:7" ht="11.25" customHeight="1">
      <c r="A20" t="s">
        <v>16</v>
      </c>
      <c r="B20" t="s">
        <v>2935</v>
      </c>
      <c r="C20" t="s">
        <v>2936</v>
      </c>
      <c r="D20" t="s">
        <v>2941</v>
      </c>
      <c r="E20" t="s">
        <v>2942</v>
      </c>
      <c r="F20" t="s">
        <v>2907</v>
      </c>
      <c r="G20" t="s">
        <v>1518</v>
      </c>
    </row>
    <row r="21" spans="1:7" ht="11.25" customHeight="1">
      <c r="A21" t="s">
        <v>16</v>
      </c>
      <c r="B21" t="s">
        <v>2935</v>
      </c>
      <c r="C21" t="s">
        <v>2936</v>
      </c>
      <c r="D21" t="s">
        <v>2943</v>
      </c>
      <c r="E21" t="s">
        <v>2944</v>
      </c>
      <c r="F21" t="s">
        <v>2907</v>
      </c>
      <c r="G21" t="s">
        <v>1527</v>
      </c>
    </row>
    <row r="22" spans="1:7" ht="11.25" customHeight="1">
      <c r="A22" t="s">
        <v>16</v>
      </c>
      <c r="B22" t="s">
        <v>2935</v>
      </c>
      <c r="C22" t="s">
        <v>2936</v>
      </c>
      <c r="D22" t="s">
        <v>2945</v>
      </c>
      <c r="E22" t="s">
        <v>2946</v>
      </c>
      <c r="F22" t="s">
        <v>2907</v>
      </c>
      <c r="G22" t="s">
        <v>1543</v>
      </c>
    </row>
    <row r="23" spans="1:7" ht="11.25" customHeight="1">
      <c r="A23" t="s">
        <v>16</v>
      </c>
      <c r="B23" t="s">
        <v>2935</v>
      </c>
      <c r="C23" t="s">
        <v>2936</v>
      </c>
      <c r="D23" t="s">
        <v>2947</v>
      </c>
      <c r="E23" t="s">
        <v>2948</v>
      </c>
      <c r="F23" t="s">
        <v>2907</v>
      </c>
      <c r="G23" t="s">
        <v>1550</v>
      </c>
    </row>
    <row r="24" spans="1:7" ht="11.25" customHeight="1">
      <c r="A24" t="s">
        <v>16</v>
      </c>
      <c r="B24" t="s">
        <v>2935</v>
      </c>
      <c r="C24" t="s">
        <v>2936</v>
      </c>
      <c r="D24" t="s">
        <v>2949</v>
      </c>
      <c r="E24" t="s">
        <v>2950</v>
      </c>
      <c r="F24" t="s">
        <v>2907</v>
      </c>
      <c r="G24" t="s">
        <v>1558</v>
      </c>
    </row>
    <row r="25" spans="1:7" ht="11.25" customHeight="1">
      <c r="A25" t="s">
        <v>16</v>
      </c>
      <c r="B25" t="s">
        <v>2951</v>
      </c>
      <c r="C25" t="s">
        <v>2952</v>
      </c>
      <c r="D25" t="s">
        <v>2953</v>
      </c>
      <c r="E25" t="s">
        <v>2954</v>
      </c>
      <c r="F25" t="s">
        <v>2907</v>
      </c>
      <c r="G25" t="s">
        <v>1565</v>
      </c>
    </row>
    <row r="26" spans="1:7" ht="11.25" customHeight="1">
      <c r="A26" t="s">
        <v>16</v>
      </c>
      <c r="B26" t="s">
        <v>2951</v>
      </c>
      <c r="C26" t="s">
        <v>2952</v>
      </c>
      <c r="D26" t="s">
        <v>2955</v>
      </c>
      <c r="E26" t="s">
        <v>2956</v>
      </c>
      <c r="F26" t="s">
        <v>2907</v>
      </c>
      <c r="G26" t="s">
        <v>1569</v>
      </c>
    </row>
    <row r="27" spans="1:7" ht="11.25" customHeight="1">
      <c r="A27" t="s">
        <v>16</v>
      </c>
      <c r="B27" t="s">
        <v>2951</v>
      </c>
      <c r="C27" t="s">
        <v>2952</v>
      </c>
      <c r="D27" t="s">
        <v>2951</v>
      </c>
      <c r="E27" t="s">
        <v>2952</v>
      </c>
      <c r="F27" t="s">
        <v>2908</v>
      </c>
      <c r="G27" t="s">
        <v>1574</v>
      </c>
    </row>
    <row r="28" spans="1:7" ht="11.25" customHeight="1">
      <c r="A28" t="s">
        <v>16</v>
      </c>
      <c r="B28" t="s">
        <v>2951</v>
      </c>
      <c r="C28" t="s">
        <v>2952</v>
      </c>
      <c r="D28" t="s">
        <v>2957</v>
      </c>
      <c r="E28" t="s">
        <v>2958</v>
      </c>
      <c r="F28" t="s">
        <v>2907</v>
      </c>
      <c r="G28" t="s">
        <v>1582</v>
      </c>
    </row>
    <row r="29" spans="1:7" ht="11.25" customHeight="1">
      <c r="A29" t="s">
        <v>16</v>
      </c>
      <c r="B29" t="s">
        <v>2951</v>
      </c>
      <c r="C29" t="s">
        <v>2952</v>
      </c>
      <c r="D29" t="s">
        <v>2959</v>
      </c>
      <c r="E29" t="s">
        <v>2960</v>
      </c>
      <c r="F29" t="s">
        <v>2907</v>
      </c>
      <c r="G29" t="s">
        <v>1584</v>
      </c>
    </row>
    <row r="30" spans="1:7" ht="11.25" customHeight="1">
      <c r="A30" t="s">
        <v>16</v>
      </c>
      <c r="B30" t="s">
        <v>2951</v>
      </c>
      <c r="C30" t="s">
        <v>2952</v>
      </c>
      <c r="D30" t="s">
        <v>2961</v>
      </c>
      <c r="E30" t="s">
        <v>2962</v>
      </c>
      <c r="F30" t="s">
        <v>2907</v>
      </c>
      <c r="G30" t="s">
        <v>1587</v>
      </c>
    </row>
    <row r="31" spans="1:7" ht="11.25" customHeight="1">
      <c r="A31" t="s">
        <v>16</v>
      </c>
      <c r="B31" t="s">
        <v>2951</v>
      </c>
      <c r="C31" t="s">
        <v>2952</v>
      </c>
      <c r="D31" t="s">
        <v>2963</v>
      </c>
      <c r="E31" t="s">
        <v>2964</v>
      </c>
      <c r="F31" t="s">
        <v>2907</v>
      </c>
      <c r="G31" t="s">
        <v>1592</v>
      </c>
    </row>
    <row r="32" spans="1:7" ht="11.25" customHeight="1">
      <c r="A32" t="s">
        <v>16</v>
      </c>
      <c r="B32" t="s">
        <v>2951</v>
      </c>
      <c r="C32" t="s">
        <v>2952</v>
      </c>
      <c r="D32" t="s">
        <v>2965</v>
      </c>
      <c r="E32" t="s">
        <v>2966</v>
      </c>
      <c r="F32" t="s">
        <v>2907</v>
      </c>
      <c r="G32" t="s">
        <v>1593</v>
      </c>
    </row>
    <row r="33" spans="1:7" ht="11.25" customHeight="1">
      <c r="A33" t="s">
        <v>16</v>
      </c>
      <c r="B33" t="s">
        <v>2951</v>
      </c>
      <c r="C33" t="s">
        <v>2952</v>
      </c>
      <c r="D33" t="s">
        <v>2967</v>
      </c>
      <c r="E33" t="s">
        <v>2968</v>
      </c>
      <c r="F33" t="s">
        <v>2907</v>
      </c>
      <c r="G33" t="s">
        <v>1595</v>
      </c>
    </row>
    <row r="34" spans="1:7" ht="11.25" customHeight="1">
      <c r="A34" t="s">
        <v>16</v>
      </c>
      <c r="B34" t="s">
        <v>2951</v>
      </c>
      <c r="C34" t="s">
        <v>2952</v>
      </c>
      <c r="D34" t="s">
        <v>2969</v>
      </c>
      <c r="E34" t="s">
        <v>2970</v>
      </c>
      <c r="F34" t="s">
        <v>2907</v>
      </c>
      <c r="G34" t="s">
        <v>1597</v>
      </c>
    </row>
    <row r="35" spans="1:7" ht="11.25" customHeight="1">
      <c r="A35" t="s">
        <v>16</v>
      </c>
      <c r="B35" t="s">
        <v>2951</v>
      </c>
      <c r="C35" t="s">
        <v>2952</v>
      </c>
      <c r="D35" t="s">
        <v>2971</v>
      </c>
      <c r="E35" t="s">
        <v>2972</v>
      </c>
      <c r="F35" t="s">
        <v>2907</v>
      </c>
      <c r="G35" t="s">
        <v>1602</v>
      </c>
    </row>
    <row r="36" spans="1:7" ht="11.25" customHeight="1">
      <c r="A36" t="s">
        <v>16</v>
      </c>
      <c r="B36" t="s">
        <v>2951</v>
      </c>
      <c r="C36" t="s">
        <v>2952</v>
      </c>
      <c r="D36" t="s">
        <v>2973</v>
      </c>
      <c r="E36" t="s">
        <v>2974</v>
      </c>
      <c r="F36" t="s">
        <v>2907</v>
      </c>
      <c r="G36" t="s">
        <v>1607</v>
      </c>
    </row>
    <row r="37" spans="1:7" ht="11.25" customHeight="1">
      <c r="A37" t="s">
        <v>16</v>
      </c>
      <c r="B37" t="s">
        <v>2951</v>
      </c>
      <c r="C37" t="s">
        <v>2952</v>
      </c>
      <c r="D37" t="s">
        <v>2975</v>
      </c>
      <c r="E37" t="s">
        <v>2976</v>
      </c>
      <c r="F37" t="s">
        <v>2977</v>
      </c>
      <c r="G37" t="s">
        <v>1611</v>
      </c>
    </row>
    <row r="38" spans="1:7" ht="11.25" customHeight="1">
      <c r="A38" t="s">
        <v>16</v>
      </c>
      <c r="B38" t="s">
        <v>2951</v>
      </c>
      <c r="C38" t="s">
        <v>2952</v>
      </c>
      <c r="D38" t="s">
        <v>2978</v>
      </c>
      <c r="E38" t="s">
        <v>2979</v>
      </c>
      <c r="F38" t="s">
        <v>2977</v>
      </c>
      <c r="G38" t="s">
        <v>1619</v>
      </c>
    </row>
    <row r="39" spans="1:7" ht="11.25" customHeight="1">
      <c r="A39" t="s">
        <v>16</v>
      </c>
      <c r="B39" t="s">
        <v>2980</v>
      </c>
      <c r="C39" t="s">
        <v>2981</v>
      </c>
      <c r="D39" t="s">
        <v>2982</v>
      </c>
      <c r="E39" t="s">
        <v>2983</v>
      </c>
      <c r="F39" t="s">
        <v>2907</v>
      </c>
      <c r="G39" t="s">
        <v>1625</v>
      </c>
    </row>
    <row r="40" spans="1:7" ht="11.25" customHeight="1">
      <c r="A40" t="s">
        <v>16</v>
      </c>
      <c r="B40" t="s">
        <v>2980</v>
      </c>
      <c r="C40" t="s">
        <v>2981</v>
      </c>
      <c r="D40" t="s">
        <v>2984</v>
      </c>
      <c r="E40" t="s">
        <v>2985</v>
      </c>
      <c r="F40" t="s">
        <v>2907</v>
      </c>
      <c r="G40" t="s">
        <v>1630</v>
      </c>
    </row>
    <row r="41" spans="1:7" ht="11.25" customHeight="1">
      <c r="A41" t="s">
        <v>16</v>
      </c>
      <c r="B41" t="s">
        <v>2980</v>
      </c>
      <c r="C41" t="s">
        <v>2981</v>
      </c>
      <c r="D41" t="s">
        <v>2980</v>
      </c>
      <c r="E41" t="s">
        <v>2981</v>
      </c>
      <c r="F41" t="s">
        <v>2908</v>
      </c>
      <c r="G41" t="s">
        <v>1634</v>
      </c>
    </row>
    <row r="42" spans="1:7" ht="11.25" customHeight="1">
      <c r="A42" t="s">
        <v>16</v>
      </c>
      <c r="B42" t="s">
        <v>2980</v>
      </c>
      <c r="C42" t="s">
        <v>2981</v>
      </c>
      <c r="D42" t="s">
        <v>2986</v>
      </c>
      <c r="E42" t="s">
        <v>2987</v>
      </c>
      <c r="F42" t="s">
        <v>2907</v>
      </c>
      <c r="G42" t="s">
        <v>1637</v>
      </c>
    </row>
    <row r="43" spans="1:7" ht="11.25" customHeight="1">
      <c r="A43" t="s">
        <v>16</v>
      </c>
      <c r="B43" t="s">
        <v>2980</v>
      </c>
      <c r="C43" t="s">
        <v>2981</v>
      </c>
      <c r="D43" t="s">
        <v>2988</v>
      </c>
      <c r="E43" t="s">
        <v>2989</v>
      </c>
      <c r="F43" t="s">
        <v>2907</v>
      </c>
      <c r="G43" t="s">
        <v>1644</v>
      </c>
    </row>
    <row r="44" spans="1:7" ht="11.25" customHeight="1">
      <c r="A44" t="s">
        <v>16</v>
      </c>
      <c r="B44" t="s">
        <v>2980</v>
      </c>
      <c r="C44" t="s">
        <v>2981</v>
      </c>
      <c r="D44" t="s">
        <v>2990</v>
      </c>
      <c r="E44" t="s">
        <v>2991</v>
      </c>
      <c r="F44" t="s">
        <v>2907</v>
      </c>
      <c r="G44" t="s">
        <v>1653</v>
      </c>
    </row>
    <row r="45" spans="1:7" ht="11.25" customHeight="1">
      <c r="A45" t="s">
        <v>16</v>
      </c>
      <c r="B45" t="s">
        <v>2980</v>
      </c>
      <c r="C45" t="s">
        <v>2981</v>
      </c>
      <c r="D45" t="s">
        <v>2992</v>
      </c>
      <c r="E45" t="s">
        <v>2993</v>
      </c>
      <c r="F45" t="s">
        <v>2907</v>
      </c>
      <c r="G45" t="s">
        <v>1658</v>
      </c>
    </row>
    <row r="46" spans="1:7" ht="11.25" customHeight="1">
      <c r="A46" t="s">
        <v>16</v>
      </c>
      <c r="B46" t="s">
        <v>2980</v>
      </c>
      <c r="C46" t="s">
        <v>2981</v>
      </c>
      <c r="D46" t="s">
        <v>2994</v>
      </c>
      <c r="E46" t="s">
        <v>2995</v>
      </c>
      <c r="F46" t="s">
        <v>2907</v>
      </c>
      <c r="G46" t="s">
        <v>1662</v>
      </c>
    </row>
    <row r="47" spans="1:7" ht="11.25" customHeight="1">
      <c r="A47" t="s">
        <v>16</v>
      </c>
      <c r="B47" t="s">
        <v>2980</v>
      </c>
      <c r="C47" t="s">
        <v>2981</v>
      </c>
      <c r="D47" t="s">
        <v>2996</v>
      </c>
      <c r="E47" t="s">
        <v>2997</v>
      </c>
      <c r="F47" t="s">
        <v>2907</v>
      </c>
      <c r="G47" t="s">
        <v>1668</v>
      </c>
    </row>
    <row r="48" spans="1:7" ht="11.25" customHeight="1">
      <c r="A48" t="s">
        <v>16</v>
      </c>
      <c r="B48" t="s">
        <v>2980</v>
      </c>
      <c r="C48" t="s">
        <v>2981</v>
      </c>
      <c r="D48" t="s">
        <v>2998</v>
      </c>
      <c r="E48" t="s">
        <v>2999</v>
      </c>
      <c r="F48" t="s">
        <v>2907</v>
      </c>
      <c r="G48" t="s">
        <v>1673</v>
      </c>
    </row>
    <row r="49" spans="1:7" ht="11.25" customHeight="1">
      <c r="A49" t="s">
        <v>16</v>
      </c>
      <c r="B49" t="s">
        <v>2980</v>
      </c>
      <c r="C49" t="s">
        <v>2981</v>
      </c>
      <c r="D49" t="s">
        <v>3000</v>
      </c>
      <c r="E49" t="s">
        <v>3001</v>
      </c>
      <c r="F49" t="s">
        <v>2907</v>
      </c>
      <c r="G49" t="s">
        <v>1676</v>
      </c>
    </row>
    <row r="50" spans="1:7" ht="11.25" customHeight="1">
      <c r="A50" t="s">
        <v>16</v>
      </c>
      <c r="B50" t="s">
        <v>2980</v>
      </c>
      <c r="C50" t="s">
        <v>2981</v>
      </c>
      <c r="D50" t="s">
        <v>3002</v>
      </c>
      <c r="E50" t="s">
        <v>3003</v>
      </c>
      <c r="F50" t="s">
        <v>2907</v>
      </c>
      <c r="G50" t="s">
        <v>1679</v>
      </c>
    </row>
    <row r="51" spans="1:7" ht="11.25" customHeight="1">
      <c r="A51" t="s">
        <v>16</v>
      </c>
      <c r="B51" t="s">
        <v>2980</v>
      </c>
      <c r="C51" t="s">
        <v>2981</v>
      </c>
      <c r="D51" t="s">
        <v>3004</v>
      </c>
      <c r="E51" t="s">
        <v>3005</v>
      </c>
      <c r="F51" t="s">
        <v>2907</v>
      </c>
      <c r="G51" t="s">
        <v>1684</v>
      </c>
    </row>
    <row r="52" spans="1:7" ht="11.25" customHeight="1">
      <c r="A52" t="s">
        <v>16</v>
      </c>
      <c r="B52" t="s">
        <v>2980</v>
      </c>
      <c r="C52" t="s">
        <v>2981</v>
      </c>
      <c r="D52" t="s">
        <v>3006</v>
      </c>
      <c r="E52" t="s">
        <v>3007</v>
      </c>
      <c r="F52" t="s">
        <v>2907</v>
      </c>
      <c r="G52" t="s">
        <v>1688</v>
      </c>
    </row>
    <row r="53" spans="1:7" ht="11.25" customHeight="1">
      <c r="A53" t="s">
        <v>16</v>
      </c>
      <c r="B53" t="s">
        <v>2980</v>
      </c>
      <c r="C53" t="s">
        <v>2981</v>
      </c>
      <c r="D53" t="s">
        <v>3008</v>
      </c>
      <c r="E53" t="s">
        <v>3009</v>
      </c>
      <c r="F53" t="s">
        <v>2907</v>
      </c>
      <c r="G53" t="s">
        <v>1690</v>
      </c>
    </row>
    <row r="54" spans="1:7" ht="11.25" customHeight="1">
      <c r="A54" t="s">
        <v>16</v>
      </c>
      <c r="B54" t="s">
        <v>2980</v>
      </c>
      <c r="C54" t="s">
        <v>2981</v>
      </c>
      <c r="D54" t="s">
        <v>3010</v>
      </c>
      <c r="E54" t="s">
        <v>3011</v>
      </c>
      <c r="F54" t="s">
        <v>2977</v>
      </c>
      <c r="G54" t="s">
        <v>1693</v>
      </c>
    </row>
    <row r="55" spans="1:7" ht="11.25" customHeight="1">
      <c r="A55" t="s">
        <v>16</v>
      </c>
      <c r="B55" t="s">
        <v>3012</v>
      </c>
      <c r="C55" t="s">
        <v>3013</v>
      </c>
      <c r="D55" t="s">
        <v>3014</v>
      </c>
      <c r="E55" t="s">
        <v>3015</v>
      </c>
      <c r="F55" t="s">
        <v>2907</v>
      </c>
      <c r="G55" t="s">
        <v>1697</v>
      </c>
    </row>
    <row r="56" spans="1:7" ht="11.25" customHeight="1">
      <c r="A56" t="s">
        <v>16</v>
      </c>
      <c r="B56" t="s">
        <v>3012</v>
      </c>
      <c r="C56" t="s">
        <v>3013</v>
      </c>
      <c r="D56" t="s">
        <v>3012</v>
      </c>
      <c r="E56" t="s">
        <v>3013</v>
      </c>
      <c r="F56" t="s">
        <v>2908</v>
      </c>
      <c r="G56" t="s">
        <v>1700</v>
      </c>
    </row>
    <row r="57" spans="1:7" ht="11.25" customHeight="1">
      <c r="A57" t="s">
        <v>16</v>
      </c>
      <c r="B57" t="s">
        <v>3012</v>
      </c>
      <c r="C57" t="s">
        <v>3013</v>
      </c>
      <c r="D57" t="s">
        <v>3016</v>
      </c>
      <c r="E57" t="s">
        <v>3017</v>
      </c>
      <c r="F57" t="s">
        <v>2907</v>
      </c>
      <c r="G57" t="s">
        <v>1703</v>
      </c>
    </row>
    <row r="58" spans="1:7" ht="11.25" customHeight="1">
      <c r="A58" t="s">
        <v>16</v>
      </c>
      <c r="B58" t="s">
        <v>3012</v>
      </c>
      <c r="C58" t="s">
        <v>3013</v>
      </c>
      <c r="D58" t="s">
        <v>3018</v>
      </c>
      <c r="E58" t="s">
        <v>3019</v>
      </c>
      <c r="F58" t="s">
        <v>2907</v>
      </c>
      <c r="G58" t="s">
        <v>1706</v>
      </c>
    </row>
    <row r="59" spans="1:7" ht="11.25" customHeight="1">
      <c r="A59" t="s">
        <v>16</v>
      </c>
      <c r="B59" t="s">
        <v>3012</v>
      </c>
      <c r="C59" t="s">
        <v>3013</v>
      </c>
      <c r="D59" t="s">
        <v>3020</v>
      </c>
      <c r="E59" t="s">
        <v>3021</v>
      </c>
      <c r="F59" t="s">
        <v>2907</v>
      </c>
      <c r="G59" t="s">
        <v>1710</v>
      </c>
    </row>
    <row r="60" spans="1:7" ht="11.25" customHeight="1">
      <c r="A60" t="s">
        <v>16</v>
      </c>
      <c r="B60" t="s">
        <v>3012</v>
      </c>
      <c r="C60" t="s">
        <v>3013</v>
      </c>
      <c r="D60" t="s">
        <v>3022</v>
      </c>
      <c r="E60" t="s">
        <v>3023</v>
      </c>
      <c r="F60" t="s">
        <v>2907</v>
      </c>
      <c r="G60" t="s">
        <v>1713</v>
      </c>
    </row>
    <row r="61" spans="1:7" ht="11.25" customHeight="1">
      <c r="A61" t="s">
        <v>16</v>
      </c>
      <c r="B61" t="s">
        <v>3012</v>
      </c>
      <c r="C61" t="s">
        <v>3013</v>
      </c>
      <c r="D61" t="s">
        <v>3024</v>
      </c>
      <c r="E61" t="s">
        <v>3025</v>
      </c>
      <c r="F61" t="s">
        <v>2907</v>
      </c>
      <c r="G61" t="s">
        <v>3026</v>
      </c>
    </row>
    <row r="62" spans="1:7" ht="11.25" customHeight="1">
      <c r="A62" t="s">
        <v>16</v>
      </c>
      <c r="B62" t="s">
        <v>3012</v>
      </c>
      <c r="C62" t="s">
        <v>3013</v>
      </c>
      <c r="D62" t="s">
        <v>3027</v>
      </c>
      <c r="E62" t="s">
        <v>3028</v>
      </c>
      <c r="F62" t="s">
        <v>2907</v>
      </c>
      <c r="G62" t="s">
        <v>3029</v>
      </c>
    </row>
    <row r="63" spans="1:7" ht="11.25" customHeight="1">
      <c r="A63" t="s">
        <v>16</v>
      </c>
      <c r="B63" t="s">
        <v>3012</v>
      </c>
      <c r="C63" t="s">
        <v>3013</v>
      </c>
      <c r="D63" t="s">
        <v>3030</v>
      </c>
      <c r="E63" t="s">
        <v>3031</v>
      </c>
      <c r="F63" t="s">
        <v>3032</v>
      </c>
      <c r="G63" t="s">
        <v>3033</v>
      </c>
    </row>
    <row r="64" spans="1:7" ht="11.25" customHeight="1">
      <c r="A64" t="s">
        <v>16</v>
      </c>
      <c r="B64" t="s">
        <v>3034</v>
      </c>
      <c r="C64" t="s">
        <v>3035</v>
      </c>
      <c r="D64" t="s">
        <v>3036</v>
      </c>
      <c r="E64" t="s">
        <v>3037</v>
      </c>
      <c r="F64" t="s">
        <v>2907</v>
      </c>
      <c r="G64" t="s">
        <v>3038</v>
      </c>
    </row>
    <row r="65" spans="1:7" ht="11.25" customHeight="1">
      <c r="A65" t="s">
        <v>16</v>
      </c>
      <c r="B65" t="s">
        <v>3034</v>
      </c>
      <c r="C65" t="s">
        <v>3035</v>
      </c>
      <c r="D65" t="s">
        <v>3039</v>
      </c>
      <c r="E65" t="s">
        <v>3040</v>
      </c>
      <c r="F65" t="s">
        <v>2907</v>
      </c>
      <c r="G65" t="s">
        <v>3041</v>
      </c>
    </row>
    <row r="66" spans="1:7" ht="11.25" customHeight="1">
      <c r="A66" t="s">
        <v>16</v>
      </c>
      <c r="B66" t="s">
        <v>3034</v>
      </c>
      <c r="C66" t="s">
        <v>3035</v>
      </c>
      <c r="D66" t="s">
        <v>3042</v>
      </c>
      <c r="E66" t="s">
        <v>3043</v>
      </c>
      <c r="F66" t="s">
        <v>2907</v>
      </c>
      <c r="G66" t="s">
        <v>3044</v>
      </c>
    </row>
    <row r="67" spans="1:7" ht="11.25" customHeight="1">
      <c r="A67" t="s">
        <v>16</v>
      </c>
      <c r="B67" t="s">
        <v>3034</v>
      </c>
      <c r="C67" t="s">
        <v>3035</v>
      </c>
      <c r="D67" t="s">
        <v>3045</v>
      </c>
      <c r="E67" t="s">
        <v>3046</v>
      </c>
      <c r="F67" t="s">
        <v>2907</v>
      </c>
      <c r="G67" t="s">
        <v>2032</v>
      </c>
    </row>
    <row r="68" spans="1:7" ht="11.25" customHeight="1">
      <c r="A68" t="s">
        <v>16</v>
      </c>
      <c r="B68" t="s">
        <v>3034</v>
      </c>
      <c r="C68" t="s">
        <v>3035</v>
      </c>
      <c r="D68" t="s">
        <v>3034</v>
      </c>
      <c r="E68" t="s">
        <v>3035</v>
      </c>
      <c r="F68" t="s">
        <v>2908</v>
      </c>
      <c r="G68" t="s">
        <v>3047</v>
      </c>
    </row>
    <row r="69" spans="1:7" ht="11.25" customHeight="1">
      <c r="A69" t="s">
        <v>16</v>
      </c>
      <c r="B69" t="s">
        <v>3034</v>
      </c>
      <c r="C69" t="s">
        <v>3035</v>
      </c>
      <c r="D69" t="s">
        <v>3048</v>
      </c>
      <c r="E69" t="s">
        <v>3049</v>
      </c>
      <c r="F69" t="s">
        <v>2907</v>
      </c>
      <c r="G69" t="s">
        <v>2235</v>
      </c>
    </row>
    <row r="70" spans="1:7" ht="11.25" customHeight="1">
      <c r="A70" t="s">
        <v>16</v>
      </c>
      <c r="B70" t="s">
        <v>3034</v>
      </c>
      <c r="C70" t="s">
        <v>3035</v>
      </c>
      <c r="D70" t="s">
        <v>3050</v>
      </c>
      <c r="E70" t="s">
        <v>3051</v>
      </c>
      <c r="F70" t="s">
        <v>2907</v>
      </c>
      <c r="G70" t="s">
        <v>3052</v>
      </c>
    </row>
    <row r="71" spans="1:7" ht="11.25" customHeight="1">
      <c r="A71" t="s">
        <v>16</v>
      </c>
      <c r="B71" t="s">
        <v>3034</v>
      </c>
      <c r="C71" t="s">
        <v>3035</v>
      </c>
      <c r="D71" t="s">
        <v>3053</v>
      </c>
      <c r="E71" t="s">
        <v>3054</v>
      </c>
      <c r="F71" t="s">
        <v>2907</v>
      </c>
      <c r="G71" t="s">
        <v>3055</v>
      </c>
    </row>
    <row r="72" spans="1:7" ht="11.25" customHeight="1">
      <c r="A72" t="s">
        <v>16</v>
      </c>
      <c r="B72" t="s">
        <v>3034</v>
      </c>
      <c r="C72" t="s">
        <v>3035</v>
      </c>
      <c r="D72" t="s">
        <v>3056</v>
      </c>
      <c r="E72" t="s">
        <v>3057</v>
      </c>
      <c r="F72" t="s">
        <v>2907</v>
      </c>
      <c r="G72" t="s">
        <v>3058</v>
      </c>
    </row>
    <row r="73" spans="1:7" ht="11.25" customHeight="1">
      <c r="A73" t="s">
        <v>16</v>
      </c>
      <c r="B73" t="s">
        <v>3034</v>
      </c>
      <c r="C73" t="s">
        <v>3035</v>
      </c>
      <c r="D73" t="s">
        <v>3059</v>
      </c>
      <c r="E73" t="s">
        <v>3060</v>
      </c>
      <c r="F73" t="s">
        <v>2907</v>
      </c>
      <c r="G73" t="s">
        <v>3061</v>
      </c>
    </row>
    <row r="74" spans="1:7" ht="11.25" customHeight="1">
      <c r="A74" t="s">
        <v>16</v>
      </c>
      <c r="B74" t="s">
        <v>3034</v>
      </c>
      <c r="C74" t="s">
        <v>3035</v>
      </c>
      <c r="D74" t="s">
        <v>3062</v>
      </c>
      <c r="E74" t="s">
        <v>3063</v>
      </c>
      <c r="F74" t="s">
        <v>2907</v>
      </c>
      <c r="G74" t="s">
        <v>3064</v>
      </c>
    </row>
    <row r="75" spans="1:7" ht="11.25" customHeight="1">
      <c r="A75" t="s">
        <v>16</v>
      </c>
      <c r="B75" t="s">
        <v>3034</v>
      </c>
      <c r="C75" t="s">
        <v>3035</v>
      </c>
      <c r="D75" t="s">
        <v>3065</v>
      </c>
      <c r="E75" t="s">
        <v>3066</v>
      </c>
      <c r="F75" t="s">
        <v>2907</v>
      </c>
      <c r="G75" t="s">
        <v>3067</v>
      </c>
    </row>
    <row r="76" spans="1:7" ht="11.25" customHeight="1">
      <c r="A76" t="s">
        <v>16</v>
      </c>
      <c r="B76" t="s">
        <v>3034</v>
      </c>
      <c r="C76" t="s">
        <v>3035</v>
      </c>
      <c r="D76" t="s">
        <v>3068</v>
      </c>
      <c r="E76" t="s">
        <v>3069</v>
      </c>
      <c r="F76" t="s">
        <v>2907</v>
      </c>
      <c r="G76" t="s">
        <v>3070</v>
      </c>
    </row>
    <row r="77" spans="1:7" ht="11.25" customHeight="1">
      <c r="A77" t="s">
        <v>16</v>
      </c>
      <c r="B77" t="s">
        <v>3034</v>
      </c>
      <c r="C77" t="s">
        <v>3035</v>
      </c>
      <c r="D77" t="s">
        <v>3071</v>
      </c>
      <c r="E77" t="s">
        <v>3072</v>
      </c>
      <c r="F77" t="s">
        <v>2977</v>
      </c>
      <c r="G77" t="s">
        <v>3073</v>
      </c>
    </row>
    <row r="78" spans="1:7" ht="11.25" customHeight="1">
      <c r="A78" t="s">
        <v>16</v>
      </c>
      <c r="B78" t="s">
        <v>3074</v>
      </c>
      <c r="C78" t="s">
        <v>3075</v>
      </c>
      <c r="D78" t="s">
        <v>3076</v>
      </c>
      <c r="E78" t="s">
        <v>3077</v>
      </c>
      <c r="F78" t="s">
        <v>2907</v>
      </c>
      <c r="G78" t="s">
        <v>3078</v>
      </c>
    </row>
    <row r="79" spans="1:7" ht="11.25" customHeight="1">
      <c r="A79" t="s">
        <v>16</v>
      </c>
      <c r="B79" t="s">
        <v>3074</v>
      </c>
      <c r="C79" t="s">
        <v>3075</v>
      </c>
      <c r="D79" t="s">
        <v>3079</v>
      </c>
      <c r="E79" t="s">
        <v>3080</v>
      </c>
      <c r="F79" t="s">
        <v>2907</v>
      </c>
      <c r="G79" t="s">
        <v>3081</v>
      </c>
    </row>
    <row r="80" spans="1:7" ht="11.25" customHeight="1">
      <c r="A80" t="s">
        <v>16</v>
      </c>
      <c r="B80" t="s">
        <v>3074</v>
      </c>
      <c r="C80" t="s">
        <v>3075</v>
      </c>
      <c r="D80" t="s">
        <v>3082</v>
      </c>
      <c r="E80" t="s">
        <v>3083</v>
      </c>
      <c r="F80" t="s">
        <v>2907</v>
      </c>
      <c r="G80" t="s">
        <v>3084</v>
      </c>
    </row>
    <row r="81" spans="1:7" ht="11.25" customHeight="1">
      <c r="A81" t="s">
        <v>16</v>
      </c>
      <c r="B81" t="s">
        <v>3074</v>
      </c>
      <c r="C81" t="s">
        <v>3075</v>
      </c>
      <c r="D81" t="s">
        <v>3085</v>
      </c>
      <c r="E81" t="s">
        <v>3086</v>
      </c>
      <c r="F81" t="s">
        <v>2907</v>
      </c>
      <c r="G81" t="s">
        <v>3087</v>
      </c>
    </row>
    <row r="82" spans="1:7" ht="11.25" customHeight="1">
      <c r="A82" t="s">
        <v>16</v>
      </c>
      <c r="B82" t="s">
        <v>3074</v>
      </c>
      <c r="C82" t="s">
        <v>3075</v>
      </c>
      <c r="D82" t="s">
        <v>3088</v>
      </c>
      <c r="E82" t="s">
        <v>3089</v>
      </c>
      <c r="F82" t="s">
        <v>2907</v>
      </c>
      <c r="G82" t="s">
        <v>3090</v>
      </c>
    </row>
    <row r="83" spans="1:7" ht="11.25" customHeight="1">
      <c r="A83" t="s">
        <v>16</v>
      </c>
      <c r="B83" t="s">
        <v>3074</v>
      </c>
      <c r="C83" t="s">
        <v>3075</v>
      </c>
      <c r="D83" t="s">
        <v>3074</v>
      </c>
      <c r="E83" t="s">
        <v>3075</v>
      </c>
      <c r="F83" t="s">
        <v>2908</v>
      </c>
      <c r="G83" t="s">
        <v>3091</v>
      </c>
    </row>
    <row r="84" spans="1:7" ht="11.25" customHeight="1">
      <c r="A84" t="s">
        <v>16</v>
      </c>
      <c r="B84" t="s">
        <v>3074</v>
      </c>
      <c r="C84" t="s">
        <v>3075</v>
      </c>
      <c r="D84" t="s">
        <v>3092</v>
      </c>
      <c r="E84" t="s">
        <v>3093</v>
      </c>
      <c r="F84" t="s">
        <v>2907</v>
      </c>
      <c r="G84" t="s">
        <v>3094</v>
      </c>
    </row>
    <row r="85" spans="1:7" ht="11.25" customHeight="1">
      <c r="A85" t="s">
        <v>16</v>
      </c>
      <c r="B85" t="s">
        <v>3074</v>
      </c>
      <c r="C85" t="s">
        <v>3075</v>
      </c>
      <c r="D85" t="s">
        <v>3095</v>
      </c>
      <c r="E85" t="s">
        <v>3096</v>
      </c>
      <c r="F85" t="s">
        <v>2907</v>
      </c>
      <c r="G85" t="s">
        <v>3097</v>
      </c>
    </row>
    <row r="86" spans="1:7" ht="11.25" customHeight="1">
      <c r="A86" t="s">
        <v>16</v>
      </c>
      <c r="B86" t="s">
        <v>3074</v>
      </c>
      <c r="C86" t="s">
        <v>3075</v>
      </c>
      <c r="D86" t="s">
        <v>3098</v>
      </c>
      <c r="E86" t="s">
        <v>3099</v>
      </c>
      <c r="F86" t="s">
        <v>2907</v>
      </c>
      <c r="G86" t="s">
        <v>3100</v>
      </c>
    </row>
    <row r="87" spans="1:7" ht="11.25" customHeight="1">
      <c r="A87" t="s">
        <v>16</v>
      </c>
      <c r="B87" t="s">
        <v>3074</v>
      </c>
      <c r="C87" t="s">
        <v>3075</v>
      </c>
      <c r="D87" t="s">
        <v>3101</v>
      </c>
      <c r="E87" t="s">
        <v>3102</v>
      </c>
      <c r="F87" t="s">
        <v>2907</v>
      </c>
      <c r="G87" t="s">
        <v>3103</v>
      </c>
    </row>
    <row r="88" spans="1:7" ht="11.25" customHeight="1">
      <c r="A88" t="s">
        <v>16</v>
      </c>
      <c r="B88" t="s">
        <v>3074</v>
      </c>
      <c r="C88" t="s">
        <v>3075</v>
      </c>
      <c r="D88" t="s">
        <v>3104</v>
      </c>
      <c r="E88" t="s">
        <v>3105</v>
      </c>
      <c r="F88" t="s">
        <v>2977</v>
      </c>
      <c r="G88" t="s">
        <v>3106</v>
      </c>
    </row>
    <row r="89" spans="1:7" ht="11.25" customHeight="1">
      <c r="A89" t="s">
        <v>16</v>
      </c>
      <c r="B89" t="s">
        <v>3107</v>
      </c>
      <c r="C89" t="s">
        <v>3108</v>
      </c>
      <c r="D89" t="s">
        <v>2953</v>
      </c>
      <c r="E89" t="s">
        <v>3109</v>
      </c>
      <c r="F89" t="s">
        <v>2907</v>
      </c>
      <c r="G89" t="s">
        <v>3110</v>
      </c>
    </row>
    <row r="90" spans="1:7" ht="11.25" customHeight="1">
      <c r="A90" t="s">
        <v>16</v>
      </c>
      <c r="B90" t="s">
        <v>3107</v>
      </c>
      <c r="C90" t="s">
        <v>3108</v>
      </c>
      <c r="D90" t="s">
        <v>3111</v>
      </c>
      <c r="E90" t="s">
        <v>3112</v>
      </c>
      <c r="F90" t="s">
        <v>2907</v>
      </c>
      <c r="G90" t="s">
        <v>3113</v>
      </c>
    </row>
    <row r="91" spans="1:7" ht="11.25" customHeight="1">
      <c r="A91" t="s">
        <v>16</v>
      </c>
      <c r="B91" t="s">
        <v>3107</v>
      </c>
      <c r="C91" t="s">
        <v>3108</v>
      </c>
      <c r="D91" t="s">
        <v>3114</v>
      </c>
      <c r="E91" t="s">
        <v>3115</v>
      </c>
      <c r="F91" t="s">
        <v>2907</v>
      </c>
      <c r="G91" t="s">
        <v>3116</v>
      </c>
    </row>
    <row r="92" spans="1:7" ht="11.25" customHeight="1">
      <c r="A92" t="s">
        <v>16</v>
      </c>
      <c r="B92" t="s">
        <v>3107</v>
      </c>
      <c r="C92" t="s">
        <v>3108</v>
      </c>
      <c r="D92" t="s">
        <v>3117</v>
      </c>
      <c r="E92" t="s">
        <v>3118</v>
      </c>
      <c r="F92" t="s">
        <v>2907</v>
      </c>
      <c r="G92" t="s">
        <v>3119</v>
      </c>
    </row>
    <row r="93" spans="1:7" ht="11.25" customHeight="1">
      <c r="A93" t="s">
        <v>16</v>
      </c>
      <c r="B93" t="s">
        <v>3107</v>
      </c>
      <c r="C93" t="s">
        <v>3108</v>
      </c>
      <c r="D93" t="s">
        <v>3120</v>
      </c>
      <c r="E93" t="s">
        <v>3121</v>
      </c>
      <c r="F93" t="s">
        <v>2907</v>
      </c>
      <c r="G93" t="s">
        <v>3122</v>
      </c>
    </row>
    <row r="94" spans="1:7" ht="11.25" customHeight="1">
      <c r="A94" t="s">
        <v>16</v>
      </c>
      <c r="B94" t="s">
        <v>3107</v>
      </c>
      <c r="C94" t="s">
        <v>3108</v>
      </c>
      <c r="D94" t="s">
        <v>3107</v>
      </c>
      <c r="E94" t="s">
        <v>3108</v>
      </c>
      <c r="F94" t="s">
        <v>2908</v>
      </c>
      <c r="G94" t="s">
        <v>3123</v>
      </c>
    </row>
    <row r="95" spans="1:7" ht="11.25" customHeight="1">
      <c r="A95" t="s">
        <v>16</v>
      </c>
      <c r="B95" t="s">
        <v>3107</v>
      </c>
      <c r="C95" t="s">
        <v>3108</v>
      </c>
      <c r="D95" t="s">
        <v>3124</v>
      </c>
      <c r="E95" t="s">
        <v>3125</v>
      </c>
      <c r="F95" t="s">
        <v>2907</v>
      </c>
      <c r="G95" t="s">
        <v>3126</v>
      </c>
    </row>
    <row r="96" spans="1:7" ht="11.25" customHeight="1">
      <c r="A96" t="s">
        <v>16</v>
      </c>
      <c r="B96" t="s">
        <v>3107</v>
      </c>
      <c r="C96" t="s">
        <v>3108</v>
      </c>
      <c r="D96" t="s">
        <v>3127</v>
      </c>
      <c r="E96" t="s">
        <v>3128</v>
      </c>
      <c r="F96" t="s">
        <v>2907</v>
      </c>
      <c r="G96" t="s">
        <v>3129</v>
      </c>
    </row>
    <row r="97" spans="1:7" ht="11.25" customHeight="1">
      <c r="A97" t="s">
        <v>16</v>
      </c>
      <c r="B97" t="s">
        <v>3107</v>
      </c>
      <c r="C97" t="s">
        <v>3108</v>
      </c>
      <c r="D97" t="s">
        <v>3130</v>
      </c>
      <c r="E97" t="s">
        <v>3131</v>
      </c>
      <c r="F97" t="s">
        <v>2907</v>
      </c>
      <c r="G97" t="s">
        <v>3132</v>
      </c>
    </row>
    <row r="98" spans="1:7" ht="11.25" customHeight="1">
      <c r="A98" t="s">
        <v>16</v>
      </c>
      <c r="B98" t="s">
        <v>3107</v>
      </c>
      <c r="C98" t="s">
        <v>3108</v>
      </c>
      <c r="D98" t="s">
        <v>3133</v>
      </c>
      <c r="E98" t="s">
        <v>3134</v>
      </c>
      <c r="F98" t="s">
        <v>2907</v>
      </c>
      <c r="G98" t="s">
        <v>3135</v>
      </c>
    </row>
    <row r="99" spans="1:7" ht="11.25" customHeight="1">
      <c r="A99" t="s">
        <v>16</v>
      </c>
      <c r="B99" t="s">
        <v>3107</v>
      </c>
      <c r="C99" t="s">
        <v>3108</v>
      </c>
      <c r="D99" t="s">
        <v>3136</v>
      </c>
      <c r="E99" t="s">
        <v>3137</v>
      </c>
      <c r="F99" t="s">
        <v>2907</v>
      </c>
      <c r="G99" t="s">
        <v>3138</v>
      </c>
    </row>
    <row r="100" spans="1:7" ht="11.25" customHeight="1">
      <c r="A100" t="s">
        <v>16</v>
      </c>
      <c r="B100" t="s">
        <v>3107</v>
      </c>
      <c r="C100" t="s">
        <v>3108</v>
      </c>
      <c r="D100" t="s">
        <v>3139</v>
      </c>
      <c r="E100" t="s">
        <v>3140</v>
      </c>
      <c r="F100" t="s">
        <v>2907</v>
      </c>
      <c r="G100" t="s">
        <v>3141</v>
      </c>
    </row>
    <row r="101" spans="1:7" ht="11.25" customHeight="1">
      <c r="A101" t="s">
        <v>16</v>
      </c>
      <c r="B101" t="s">
        <v>3107</v>
      </c>
      <c r="C101" t="s">
        <v>3108</v>
      </c>
      <c r="D101" t="s">
        <v>3142</v>
      </c>
      <c r="E101" t="s">
        <v>3143</v>
      </c>
      <c r="F101" t="s">
        <v>2907</v>
      </c>
      <c r="G101" t="s">
        <v>3144</v>
      </c>
    </row>
    <row r="102" spans="1:7" ht="11.25" customHeight="1">
      <c r="A102" t="s">
        <v>16</v>
      </c>
      <c r="B102" t="s">
        <v>3107</v>
      </c>
      <c r="C102" t="s">
        <v>3108</v>
      </c>
      <c r="D102" t="s">
        <v>3145</v>
      </c>
      <c r="E102" t="s">
        <v>3146</v>
      </c>
      <c r="F102" t="s">
        <v>2907</v>
      </c>
      <c r="G102" t="s">
        <v>3147</v>
      </c>
    </row>
    <row r="103" spans="1:7" ht="11.25" customHeight="1">
      <c r="A103" t="s">
        <v>16</v>
      </c>
      <c r="B103" t="s">
        <v>3107</v>
      </c>
      <c r="C103" t="s">
        <v>3108</v>
      </c>
      <c r="D103" t="s">
        <v>3148</v>
      </c>
      <c r="E103" t="s">
        <v>3149</v>
      </c>
      <c r="F103" t="s">
        <v>2977</v>
      </c>
      <c r="G103" t="s">
        <v>3150</v>
      </c>
    </row>
    <row r="104" spans="1:7" ht="11.25" customHeight="1">
      <c r="A104" t="s">
        <v>16</v>
      </c>
      <c r="B104" t="s">
        <v>3107</v>
      </c>
      <c r="C104" t="s">
        <v>3108</v>
      </c>
      <c r="D104" t="s">
        <v>3151</v>
      </c>
      <c r="E104" t="s">
        <v>3152</v>
      </c>
      <c r="F104" t="s">
        <v>2977</v>
      </c>
      <c r="G104" t="s">
        <v>3153</v>
      </c>
    </row>
    <row r="105" spans="1:7" ht="11.25" customHeight="1">
      <c r="A105" t="s">
        <v>16</v>
      </c>
      <c r="B105" t="s">
        <v>3107</v>
      </c>
      <c r="C105" t="s">
        <v>3108</v>
      </c>
      <c r="D105" t="s">
        <v>3154</v>
      </c>
      <c r="E105" t="s">
        <v>3155</v>
      </c>
      <c r="F105" t="s">
        <v>2977</v>
      </c>
      <c r="G105" t="s">
        <v>3156</v>
      </c>
    </row>
    <row r="106" spans="1:7" ht="11.25" customHeight="1">
      <c r="A106" t="s">
        <v>16</v>
      </c>
      <c r="B106" t="s">
        <v>3157</v>
      </c>
      <c r="C106" t="s">
        <v>3158</v>
      </c>
      <c r="D106" t="s">
        <v>3159</v>
      </c>
      <c r="E106" t="s">
        <v>3160</v>
      </c>
      <c r="F106" t="s">
        <v>2907</v>
      </c>
      <c r="G106" t="s">
        <v>3161</v>
      </c>
    </row>
    <row r="107" spans="1:7" ht="11.25" customHeight="1">
      <c r="A107" t="s">
        <v>16</v>
      </c>
      <c r="B107" t="s">
        <v>3157</v>
      </c>
      <c r="C107" t="s">
        <v>3158</v>
      </c>
      <c r="D107" t="s">
        <v>3162</v>
      </c>
      <c r="E107" t="s">
        <v>3163</v>
      </c>
      <c r="F107" t="s">
        <v>2907</v>
      </c>
      <c r="G107" t="s">
        <v>3164</v>
      </c>
    </row>
    <row r="108" spans="1:7" ht="11.25" customHeight="1">
      <c r="A108" t="s">
        <v>16</v>
      </c>
      <c r="B108" t="s">
        <v>3157</v>
      </c>
      <c r="C108" t="s">
        <v>3158</v>
      </c>
      <c r="D108" t="s">
        <v>3165</v>
      </c>
      <c r="E108" t="s">
        <v>3166</v>
      </c>
      <c r="F108" t="s">
        <v>2907</v>
      </c>
      <c r="G108" t="s">
        <v>3167</v>
      </c>
    </row>
    <row r="109" spans="1:7" ht="11.25" customHeight="1">
      <c r="A109" t="s">
        <v>16</v>
      </c>
      <c r="B109" t="s">
        <v>3157</v>
      </c>
      <c r="C109" t="s">
        <v>3158</v>
      </c>
      <c r="D109" t="s">
        <v>3157</v>
      </c>
      <c r="E109" t="s">
        <v>3158</v>
      </c>
      <c r="F109" t="s">
        <v>2908</v>
      </c>
      <c r="G109" t="s">
        <v>3168</v>
      </c>
    </row>
    <row r="110" spans="1:7" ht="11.25" customHeight="1">
      <c r="A110" t="s">
        <v>16</v>
      </c>
      <c r="B110" t="s">
        <v>3157</v>
      </c>
      <c r="C110" t="s">
        <v>3158</v>
      </c>
      <c r="D110" t="s">
        <v>3169</v>
      </c>
      <c r="E110" t="s">
        <v>3170</v>
      </c>
      <c r="F110" t="s">
        <v>2907</v>
      </c>
      <c r="G110" t="s">
        <v>3171</v>
      </c>
    </row>
    <row r="111" spans="1:7" ht="11.25" customHeight="1">
      <c r="A111" t="s">
        <v>16</v>
      </c>
      <c r="B111" t="s">
        <v>3157</v>
      </c>
      <c r="C111" t="s">
        <v>3158</v>
      </c>
      <c r="D111" t="s">
        <v>3172</v>
      </c>
      <c r="E111" t="s">
        <v>3173</v>
      </c>
      <c r="F111" t="s">
        <v>2907</v>
      </c>
      <c r="G111" t="s">
        <v>3174</v>
      </c>
    </row>
    <row r="112" spans="1:7" ht="11.25" customHeight="1">
      <c r="A112" t="s">
        <v>16</v>
      </c>
      <c r="B112" t="s">
        <v>3157</v>
      </c>
      <c r="C112" t="s">
        <v>3158</v>
      </c>
      <c r="D112" t="s">
        <v>3175</v>
      </c>
      <c r="E112" t="s">
        <v>3176</v>
      </c>
      <c r="F112" t="s">
        <v>2907</v>
      </c>
      <c r="G112" t="s">
        <v>3177</v>
      </c>
    </row>
    <row r="113" spans="1:7" ht="11.25" customHeight="1">
      <c r="A113" t="s">
        <v>16</v>
      </c>
      <c r="B113" t="s">
        <v>3157</v>
      </c>
      <c r="C113" t="s">
        <v>3158</v>
      </c>
      <c r="D113" t="s">
        <v>3178</v>
      </c>
      <c r="E113" t="s">
        <v>3179</v>
      </c>
      <c r="F113" t="s">
        <v>2907</v>
      </c>
      <c r="G113" t="s">
        <v>3180</v>
      </c>
    </row>
    <row r="114" spans="1:7" ht="11.25" customHeight="1">
      <c r="A114" t="s">
        <v>16</v>
      </c>
      <c r="B114" t="s">
        <v>3157</v>
      </c>
      <c r="C114" t="s">
        <v>3158</v>
      </c>
      <c r="D114" t="s">
        <v>3181</v>
      </c>
      <c r="E114" t="s">
        <v>3182</v>
      </c>
      <c r="F114" t="s">
        <v>2907</v>
      </c>
      <c r="G114" t="s">
        <v>3183</v>
      </c>
    </row>
    <row r="115" spans="1:7" ht="11.25" customHeight="1">
      <c r="A115" t="s">
        <v>16</v>
      </c>
      <c r="B115" t="s">
        <v>3157</v>
      </c>
      <c r="C115" t="s">
        <v>3158</v>
      </c>
      <c r="D115" t="s">
        <v>3184</v>
      </c>
      <c r="E115" t="s">
        <v>3185</v>
      </c>
      <c r="F115" t="s">
        <v>2907</v>
      </c>
      <c r="G115" t="s">
        <v>3186</v>
      </c>
    </row>
    <row r="116" spans="1:7" ht="11.25" customHeight="1">
      <c r="A116" t="s">
        <v>16</v>
      </c>
      <c r="B116" t="s">
        <v>3157</v>
      </c>
      <c r="C116" t="s">
        <v>3158</v>
      </c>
      <c r="D116" t="s">
        <v>3187</v>
      </c>
      <c r="E116" t="s">
        <v>3188</v>
      </c>
      <c r="F116" t="s">
        <v>2977</v>
      </c>
      <c r="G116" t="s">
        <v>3189</v>
      </c>
    </row>
    <row r="117" spans="1:7" ht="11.25" customHeight="1">
      <c r="A117" t="s">
        <v>16</v>
      </c>
      <c r="B117" t="s">
        <v>3190</v>
      </c>
      <c r="C117" t="s">
        <v>3191</v>
      </c>
      <c r="D117" t="s">
        <v>3192</v>
      </c>
      <c r="E117" t="s">
        <v>3193</v>
      </c>
      <c r="F117" t="s">
        <v>2907</v>
      </c>
      <c r="G117" t="s">
        <v>3194</v>
      </c>
    </row>
    <row r="118" spans="1:7" ht="11.25" customHeight="1">
      <c r="A118" t="s">
        <v>16</v>
      </c>
      <c r="B118" t="s">
        <v>3190</v>
      </c>
      <c r="C118" t="s">
        <v>3191</v>
      </c>
      <c r="D118" t="s">
        <v>3195</v>
      </c>
      <c r="E118" t="s">
        <v>3196</v>
      </c>
      <c r="F118" t="s">
        <v>2907</v>
      </c>
      <c r="G118" t="s">
        <v>3197</v>
      </c>
    </row>
    <row r="119" spans="1:7" ht="11.25" customHeight="1">
      <c r="A119" t="s">
        <v>16</v>
      </c>
      <c r="B119" t="s">
        <v>3190</v>
      </c>
      <c r="C119" t="s">
        <v>3191</v>
      </c>
      <c r="D119" t="s">
        <v>3190</v>
      </c>
      <c r="E119" t="s">
        <v>3191</v>
      </c>
      <c r="F119" t="s">
        <v>2908</v>
      </c>
      <c r="G119" t="s">
        <v>3198</v>
      </c>
    </row>
    <row r="120" spans="1:7" ht="11.25" customHeight="1">
      <c r="A120" t="s">
        <v>16</v>
      </c>
      <c r="B120" t="s">
        <v>3190</v>
      </c>
      <c r="C120" t="s">
        <v>3191</v>
      </c>
      <c r="D120" t="s">
        <v>3199</v>
      </c>
      <c r="E120" t="s">
        <v>3200</v>
      </c>
      <c r="F120" t="s">
        <v>2907</v>
      </c>
      <c r="G120" t="s">
        <v>3201</v>
      </c>
    </row>
    <row r="121" spans="1:7" ht="11.25" customHeight="1">
      <c r="A121" t="s">
        <v>16</v>
      </c>
      <c r="B121" t="s">
        <v>3190</v>
      </c>
      <c r="C121" t="s">
        <v>3191</v>
      </c>
      <c r="D121" t="s">
        <v>2941</v>
      </c>
      <c r="E121" t="s">
        <v>3202</v>
      </c>
      <c r="F121" t="s">
        <v>2907</v>
      </c>
      <c r="G121" t="s">
        <v>3203</v>
      </c>
    </row>
    <row r="122" spans="1:7" ht="11.25" customHeight="1">
      <c r="A122" t="s">
        <v>16</v>
      </c>
      <c r="B122" t="s">
        <v>3190</v>
      </c>
      <c r="C122" t="s">
        <v>3191</v>
      </c>
      <c r="D122" t="s">
        <v>3204</v>
      </c>
      <c r="E122" t="s">
        <v>3205</v>
      </c>
      <c r="F122" t="s">
        <v>2907</v>
      </c>
      <c r="G122" t="s">
        <v>3206</v>
      </c>
    </row>
    <row r="123" spans="1:7" ht="11.25" customHeight="1">
      <c r="A123" t="s">
        <v>16</v>
      </c>
      <c r="B123" t="s">
        <v>3190</v>
      </c>
      <c r="C123" t="s">
        <v>3191</v>
      </c>
      <c r="D123" t="s">
        <v>3207</v>
      </c>
      <c r="E123" t="s">
        <v>3208</v>
      </c>
      <c r="F123" t="s">
        <v>2907</v>
      </c>
      <c r="G123" t="s">
        <v>3209</v>
      </c>
    </row>
    <row r="124" spans="1:7" ht="11.25" customHeight="1">
      <c r="A124" t="s">
        <v>16</v>
      </c>
      <c r="B124" t="s">
        <v>3190</v>
      </c>
      <c r="C124" t="s">
        <v>3191</v>
      </c>
      <c r="D124" t="s">
        <v>3210</v>
      </c>
      <c r="E124" t="s">
        <v>3211</v>
      </c>
      <c r="F124" t="s">
        <v>2907</v>
      </c>
      <c r="G124" t="s">
        <v>3212</v>
      </c>
    </row>
    <row r="125" spans="1:7" ht="11.25" customHeight="1">
      <c r="A125" t="s">
        <v>16</v>
      </c>
      <c r="B125" t="s">
        <v>3190</v>
      </c>
      <c r="C125" t="s">
        <v>3191</v>
      </c>
      <c r="D125" t="s">
        <v>3213</v>
      </c>
      <c r="E125" t="s">
        <v>3214</v>
      </c>
      <c r="F125" t="s">
        <v>2907</v>
      </c>
      <c r="G125" t="s">
        <v>3215</v>
      </c>
    </row>
    <row r="126" spans="1:7" ht="11.25" customHeight="1">
      <c r="A126" t="s">
        <v>16</v>
      </c>
      <c r="B126" t="s">
        <v>3190</v>
      </c>
      <c r="C126" t="s">
        <v>3191</v>
      </c>
      <c r="D126" t="s">
        <v>3216</v>
      </c>
      <c r="E126" t="s">
        <v>3217</v>
      </c>
      <c r="F126" t="s">
        <v>2907</v>
      </c>
      <c r="G126" t="s">
        <v>3218</v>
      </c>
    </row>
    <row r="127" spans="1:7" ht="11.25" customHeight="1">
      <c r="A127" t="s">
        <v>16</v>
      </c>
      <c r="B127" t="s">
        <v>3190</v>
      </c>
      <c r="C127" t="s">
        <v>3191</v>
      </c>
      <c r="D127" t="s">
        <v>3219</v>
      </c>
      <c r="E127" t="s">
        <v>3220</v>
      </c>
      <c r="F127" t="s">
        <v>2977</v>
      </c>
      <c r="G127" t="s">
        <v>3221</v>
      </c>
    </row>
    <row r="128" spans="1:7" ht="11.25" customHeight="1">
      <c r="A128" t="s">
        <v>16</v>
      </c>
      <c r="B128" t="s">
        <v>3222</v>
      </c>
      <c r="C128" t="s">
        <v>3223</v>
      </c>
      <c r="D128" t="s">
        <v>3224</v>
      </c>
      <c r="E128" t="s">
        <v>3225</v>
      </c>
      <c r="F128" t="s">
        <v>2907</v>
      </c>
      <c r="G128" t="s">
        <v>3226</v>
      </c>
    </row>
    <row r="129" spans="1:7" ht="11.25" customHeight="1">
      <c r="A129" t="s">
        <v>16</v>
      </c>
      <c r="B129" t="s">
        <v>3222</v>
      </c>
      <c r="C129" t="s">
        <v>3223</v>
      </c>
      <c r="D129" t="s">
        <v>3227</v>
      </c>
      <c r="E129" t="s">
        <v>3228</v>
      </c>
      <c r="F129" t="s">
        <v>2907</v>
      </c>
      <c r="G129" t="s">
        <v>3229</v>
      </c>
    </row>
    <row r="130" spans="1:7" ht="11.25" customHeight="1">
      <c r="A130" t="s">
        <v>16</v>
      </c>
      <c r="B130" t="s">
        <v>3222</v>
      </c>
      <c r="C130" t="s">
        <v>3223</v>
      </c>
      <c r="D130" t="s">
        <v>3230</v>
      </c>
      <c r="E130" t="s">
        <v>3231</v>
      </c>
      <c r="F130" t="s">
        <v>2907</v>
      </c>
      <c r="G130" t="s">
        <v>3232</v>
      </c>
    </row>
    <row r="131" spans="1:7" ht="11.25" customHeight="1">
      <c r="A131" t="s">
        <v>16</v>
      </c>
      <c r="B131" t="s">
        <v>3222</v>
      </c>
      <c r="C131" t="s">
        <v>3223</v>
      </c>
      <c r="D131" t="s">
        <v>3233</v>
      </c>
      <c r="E131" t="s">
        <v>3234</v>
      </c>
      <c r="F131" t="s">
        <v>2907</v>
      </c>
      <c r="G131" t="s">
        <v>3235</v>
      </c>
    </row>
    <row r="132" spans="1:7" ht="11.25" customHeight="1">
      <c r="A132" t="s">
        <v>16</v>
      </c>
      <c r="B132" t="s">
        <v>3222</v>
      </c>
      <c r="C132" t="s">
        <v>3223</v>
      </c>
      <c r="D132" t="s">
        <v>3236</v>
      </c>
      <c r="E132" t="s">
        <v>3237</v>
      </c>
      <c r="F132" t="s">
        <v>2907</v>
      </c>
      <c r="G132" t="s">
        <v>3238</v>
      </c>
    </row>
    <row r="133" spans="1:7" ht="11.25" customHeight="1">
      <c r="A133" t="s">
        <v>16</v>
      </c>
      <c r="B133" t="s">
        <v>3222</v>
      </c>
      <c r="C133" t="s">
        <v>3223</v>
      </c>
      <c r="D133" t="s">
        <v>3239</v>
      </c>
      <c r="E133" t="s">
        <v>3240</v>
      </c>
      <c r="F133" t="s">
        <v>2907</v>
      </c>
      <c r="G133" t="s">
        <v>3241</v>
      </c>
    </row>
    <row r="134" spans="1:7" ht="11.25" customHeight="1">
      <c r="A134" t="s">
        <v>16</v>
      </c>
      <c r="B134" t="s">
        <v>3222</v>
      </c>
      <c r="C134" t="s">
        <v>3223</v>
      </c>
      <c r="D134" t="s">
        <v>3222</v>
      </c>
      <c r="E134" t="s">
        <v>3223</v>
      </c>
      <c r="F134" t="s">
        <v>2908</v>
      </c>
      <c r="G134" t="s">
        <v>3242</v>
      </c>
    </row>
    <row r="135" spans="1:7" ht="11.25" customHeight="1">
      <c r="A135" t="s">
        <v>16</v>
      </c>
      <c r="B135" t="s">
        <v>3222</v>
      </c>
      <c r="C135" t="s">
        <v>3223</v>
      </c>
      <c r="D135" t="s">
        <v>3243</v>
      </c>
      <c r="E135" t="s">
        <v>3244</v>
      </c>
      <c r="F135" t="s">
        <v>2907</v>
      </c>
      <c r="G135" t="s">
        <v>3245</v>
      </c>
    </row>
    <row r="136" spans="1:7" ht="11.25" customHeight="1">
      <c r="A136" t="s">
        <v>16</v>
      </c>
      <c r="B136" t="s">
        <v>3222</v>
      </c>
      <c r="C136" t="s">
        <v>3223</v>
      </c>
      <c r="D136" t="s">
        <v>3246</v>
      </c>
      <c r="E136" t="s">
        <v>3247</v>
      </c>
      <c r="F136" t="s">
        <v>2907</v>
      </c>
      <c r="G136" t="s">
        <v>3248</v>
      </c>
    </row>
    <row r="137" spans="1:7" ht="11.25" customHeight="1">
      <c r="A137" t="s">
        <v>16</v>
      </c>
      <c r="B137" t="s">
        <v>3222</v>
      </c>
      <c r="C137" t="s">
        <v>3223</v>
      </c>
      <c r="D137" t="s">
        <v>3249</v>
      </c>
      <c r="E137" t="s">
        <v>3250</v>
      </c>
      <c r="F137" t="s">
        <v>2907</v>
      </c>
      <c r="G137" t="s">
        <v>3251</v>
      </c>
    </row>
    <row r="138" spans="1:7" ht="11.25" customHeight="1">
      <c r="A138" t="s">
        <v>16</v>
      </c>
      <c r="B138" t="s">
        <v>3222</v>
      </c>
      <c r="C138" t="s">
        <v>3223</v>
      </c>
      <c r="D138" t="s">
        <v>3252</v>
      </c>
      <c r="E138" t="s">
        <v>3253</v>
      </c>
      <c r="F138" t="s">
        <v>2907</v>
      </c>
      <c r="G138" t="s">
        <v>3254</v>
      </c>
    </row>
    <row r="139" spans="1:7" ht="11.25" customHeight="1">
      <c r="A139" t="s">
        <v>16</v>
      </c>
      <c r="B139" t="s">
        <v>3222</v>
      </c>
      <c r="C139" t="s">
        <v>3223</v>
      </c>
      <c r="D139" t="s">
        <v>3255</v>
      </c>
      <c r="E139" t="s">
        <v>3256</v>
      </c>
      <c r="F139" t="s">
        <v>2907</v>
      </c>
      <c r="G139" t="s">
        <v>3257</v>
      </c>
    </row>
    <row r="140" spans="1:7" ht="11.25" customHeight="1">
      <c r="A140" t="s">
        <v>16</v>
      </c>
      <c r="B140" t="s">
        <v>3222</v>
      </c>
      <c r="C140" t="s">
        <v>3223</v>
      </c>
      <c r="D140" t="s">
        <v>3258</v>
      </c>
      <c r="E140" t="s">
        <v>3259</v>
      </c>
      <c r="F140" t="s">
        <v>2907</v>
      </c>
      <c r="G140" t="s">
        <v>3260</v>
      </c>
    </row>
    <row r="141" spans="1:7" ht="11.25" customHeight="1">
      <c r="A141" t="s">
        <v>16</v>
      </c>
      <c r="B141" t="s">
        <v>3222</v>
      </c>
      <c r="C141" t="s">
        <v>3223</v>
      </c>
      <c r="D141" t="s">
        <v>3261</v>
      </c>
      <c r="E141" t="s">
        <v>3262</v>
      </c>
      <c r="F141" t="s">
        <v>2907</v>
      </c>
      <c r="G141" t="s">
        <v>3263</v>
      </c>
    </row>
    <row r="142" spans="1:7" ht="11.25" customHeight="1">
      <c r="A142" t="s">
        <v>16</v>
      </c>
      <c r="B142" t="s">
        <v>3222</v>
      </c>
      <c r="C142" t="s">
        <v>3223</v>
      </c>
      <c r="D142" t="s">
        <v>3264</v>
      </c>
      <c r="E142" t="s">
        <v>3265</v>
      </c>
      <c r="F142" t="s">
        <v>2907</v>
      </c>
      <c r="G142" t="s">
        <v>3266</v>
      </c>
    </row>
    <row r="143" spans="1:7" ht="11.25" customHeight="1">
      <c r="A143" t="s">
        <v>16</v>
      </c>
      <c r="B143" t="s">
        <v>3222</v>
      </c>
      <c r="C143" t="s">
        <v>3223</v>
      </c>
      <c r="D143" t="s">
        <v>3062</v>
      </c>
      <c r="E143" t="s">
        <v>3267</v>
      </c>
      <c r="F143" t="s">
        <v>2907</v>
      </c>
      <c r="G143" t="s">
        <v>3268</v>
      </c>
    </row>
    <row r="144" spans="1:7" ht="11.25" customHeight="1">
      <c r="A144" t="s">
        <v>16</v>
      </c>
      <c r="B144" t="s">
        <v>3222</v>
      </c>
      <c r="C144" t="s">
        <v>3223</v>
      </c>
      <c r="D144" t="s">
        <v>3269</v>
      </c>
      <c r="E144" t="s">
        <v>3270</v>
      </c>
      <c r="F144" t="s">
        <v>2907</v>
      </c>
      <c r="G144" t="s">
        <v>3271</v>
      </c>
    </row>
    <row r="145" spans="1:7" ht="11.25" customHeight="1">
      <c r="A145" t="s">
        <v>16</v>
      </c>
      <c r="B145" t="s">
        <v>3222</v>
      </c>
      <c r="C145" t="s">
        <v>3223</v>
      </c>
      <c r="D145" t="s">
        <v>3272</v>
      </c>
      <c r="E145" t="s">
        <v>3273</v>
      </c>
      <c r="F145" t="s">
        <v>2907</v>
      </c>
      <c r="G145" t="s">
        <v>3274</v>
      </c>
    </row>
    <row r="146" spans="1:7" ht="11.25" customHeight="1">
      <c r="A146" t="s">
        <v>16</v>
      </c>
      <c r="B146" t="s">
        <v>3275</v>
      </c>
      <c r="C146" t="s">
        <v>3276</v>
      </c>
      <c r="D146" t="s">
        <v>3277</v>
      </c>
      <c r="E146" t="s">
        <v>3278</v>
      </c>
      <c r="F146" t="s">
        <v>2907</v>
      </c>
      <c r="G146" t="s">
        <v>3279</v>
      </c>
    </row>
    <row r="147" spans="1:7" ht="11.25" customHeight="1">
      <c r="A147" t="s">
        <v>16</v>
      </c>
      <c r="B147" t="s">
        <v>3275</v>
      </c>
      <c r="C147" t="s">
        <v>3276</v>
      </c>
      <c r="D147" t="s">
        <v>3280</v>
      </c>
      <c r="E147" t="s">
        <v>3281</v>
      </c>
      <c r="F147" t="s">
        <v>2907</v>
      </c>
      <c r="G147" t="s">
        <v>3282</v>
      </c>
    </row>
    <row r="148" spans="1:7" ht="11.25" customHeight="1">
      <c r="A148" t="s">
        <v>16</v>
      </c>
      <c r="B148" t="s">
        <v>3275</v>
      </c>
      <c r="C148" t="s">
        <v>3276</v>
      </c>
      <c r="D148" t="s">
        <v>3283</v>
      </c>
      <c r="E148" t="s">
        <v>3284</v>
      </c>
      <c r="F148" t="s">
        <v>2907</v>
      </c>
      <c r="G148" t="s">
        <v>3285</v>
      </c>
    </row>
    <row r="149" spans="1:7" ht="11.25" customHeight="1">
      <c r="A149" t="s">
        <v>16</v>
      </c>
      <c r="B149" t="s">
        <v>3275</v>
      </c>
      <c r="C149" t="s">
        <v>3276</v>
      </c>
      <c r="D149" t="s">
        <v>3286</v>
      </c>
      <c r="E149" t="s">
        <v>3287</v>
      </c>
      <c r="F149" t="s">
        <v>2907</v>
      </c>
      <c r="G149" t="s">
        <v>3288</v>
      </c>
    </row>
    <row r="150" spans="1:7" ht="11.25" customHeight="1">
      <c r="A150" t="s">
        <v>16</v>
      </c>
      <c r="B150" t="s">
        <v>3275</v>
      </c>
      <c r="C150" t="s">
        <v>3276</v>
      </c>
      <c r="D150" t="s">
        <v>3275</v>
      </c>
      <c r="E150" t="s">
        <v>3276</v>
      </c>
      <c r="F150" t="s">
        <v>2908</v>
      </c>
      <c r="G150" t="s">
        <v>3289</v>
      </c>
    </row>
    <row r="151" spans="1:7" ht="11.25" customHeight="1">
      <c r="A151" t="s">
        <v>16</v>
      </c>
      <c r="B151" t="s">
        <v>3275</v>
      </c>
      <c r="C151" t="s">
        <v>3276</v>
      </c>
      <c r="D151" t="s">
        <v>3290</v>
      </c>
      <c r="E151" t="s">
        <v>3291</v>
      </c>
      <c r="F151" t="s">
        <v>2907</v>
      </c>
      <c r="G151" t="s">
        <v>3292</v>
      </c>
    </row>
    <row r="152" spans="1:7" ht="11.25" customHeight="1">
      <c r="A152" t="s">
        <v>16</v>
      </c>
      <c r="B152" t="s">
        <v>3275</v>
      </c>
      <c r="C152" t="s">
        <v>3276</v>
      </c>
      <c r="D152" t="s">
        <v>3293</v>
      </c>
      <c r="E152" t="s">
        <v>3294</v>
      </c>
      <c r="F152" t="s">
        <v>2907</v>
      </c>
      <c r="G152" t="s">
        <v>3295</v>
      </c>
    </row>
    <row r="153" spans="1:7" ht="11.25" customHeight="1">
      <c r="A153" t="s">
        <v>16</v>
      </c>
      <c r="B153" t="s">
        <v>3275</v>
      </c>
      <c r="C153" t="s">
        <v>3276</v>
      </c>
      <c r="D153" t="s">
        <v>3296</v>
      </c>
      <c r="E153" t="s">
        <v>3297</v>
      </c>
      <c r="F153" t="s">
        <v>2977</v>
      </c>
      <c r="G153" t="s">
        <v>3298</v>
      </c>
    </row>
    <row r="154" spans="1:7" ht="11.25" customHeight="1">
      <c r="A154" t="s">
        <v>16</v>
      </c>
      <c r="B154" t="s">
        <v>3275</v>
      </c>
      <c r="C154" t="s">
        <v>3276</v>
      </c>
      <c r="D154" t="s">
        <v>3299</v>
      </c>
      <c r="E154" t="s">
        <v>3300</v>
      </c>
      <c r="F154" t="s">
        <v>2977</v>
      </c>
      <c r="G154" t="s">
        <v>3301</v>
      </c>
    </row>
    <row r="155" spans="1:7" ht="11.25" customHeight="1">
      <c r="A155" t="s">
        <v>16</v>
      </c>
      <c r="B155" t="s">
        <v>3302</v>
      </c>
      <c r="C155" t="s">
        <v>3303</v>
      </c>
      <c r="D155" t="s">
        <v>3304</v>
      </c>
      <c r="E155" t="s">
        <v>3305</v>
      </c>
      <c r="F155" t="s">
        <v>2907</v>
      </c>
      <c r="G155" t="s">
        <v>3306</v>
      </c>
    </row>
    <row r="156" spans="1:7" ht="11.25" customHeight="1">
      <c r="A156" t="s">
        <v>16</v>
      </c>
      <c r="B156" t="s">
        <v>3302</v>
      </c>
      <c r="C156" t="s">
        <v>3303</v>
      </c>
      <c r="D156" t="s">
        <v>3307</v>
      </c>
      <c r="E156" t="s">
        <v>3308</v>
      </c>
      <c r="F156" t="s">
        <v>2907</v>
      </c>
      <c r="G156" t="s">
        <v>3309</v>
      </c>
    </row>
    <row r="157" spans="1:7" ht="11.25" customHeight="1">
      <c r="A157" t="s">
        <v>16</v>
      </c>
      <c r="B157" t="s">
        <v>3302</v>
      </c>
      <c r="C157" t="s">
        <v>3303</v>
      </c>
      <c r="D157" t="s">
        <v>3310</v>
      </c>
      <c r="E157" t="s">
        <v>3311</v>
      </c>
      <c r="F157" t="s">
        <v>2907</v>
      </c>
      <c r="G157" t="s">
        <v>3312</v>
      </c>
    </row>
    <row r="158" spans="1:7" ht="11.25" customHeight="1">
      <c r="A158" t="s">
        <v>16</v>
      </c>
      <c r="B158" t="s">
        <v>3302</v>
      </c>
      <c r="C158" t="s">
        <v>3303</v>
      </c>
      <c r="D158" t="s">
        <v>3313</v>
      </c>
      <c r="E158" t="s">
        <v>3314</v>
      </c>
      <c r="F158" t="s">
        <v>2907</v>
      </c>
      <c r="G158" t="s">
        <v>3315</v>
      </c>
    </row>
    <row r="159" spans="1:7" ht="11.25" customHeight="1">
      <c r="A159" t="s">
        <v>16</v>
      </c>
      <c r="B159" t="s">
        <v>3302</v>
      </c>
      <c r="C159" t="s">
        <v>3303</v>
      </c>
      <c r="D159" t="s">
        <v>3316</v>
      </c>
      <c r="E159" t="s">
        <v>3317</v>
      </c>
      <c r="F159" t="s">
        <v>2907</v>
      </c>
      <c r="G159" t="s">
        <v>3318</v>
      </c>
    </row>
    <row r="160" spans="1:7" ht="11.25" customHeight="1">
      <c r="A160" t="s">
        <v>16</v>
      </c>
      <c r="B160" t="s">
        <v>3302</v>
      </c>
      <c r="C160" t="s">
        <v>3303</v>
      </c>
      <c r="D160" t="s">
        <v>3319</v>
      </c>
      <c r="E160" t="s">
        <v>3320</v>
      </c>
      <c r="F160" t="s">
        <v>2907</v>
      </c>
      <c r="G160" t="s">
        <v>3321</v>
      </c>
    </row>
    <row r="161" spans="1:7" ht="11.25" customHeight="1">
      <c r="A161" t="s">
        <v>16</v>
      </c>
      <c r="B161" t="s">
        <v>3302</v>
      </c>
      <c r="C161" t="s">
        <v>3303</v>
      </c>
      <c r="D161" t="s">
        <v>3302</v>
      </c>
      <c r="E161" t="s">
        <v>3303</v>
      </c>
      <c r="F161" t="s">
        <v>2908</v>
      </c>
      <c r="G161" t="s">
        <v>3322</v>
      </c>
    </row>
    <row r="162" spans="1:7" ht="11.25" customHeight="1">
      <c r="A162" t="s">
        <v>16</v>
      </c>
      <c r="B162" t="s">
        <v>3302</v>
      </c>
      <c r="C162" t="s">
        <v>3303</v>
      </c>
      <c r="D162" t="s">
        <v>3323</v>
      </c>
      <c r="E162" t="s">
        <v>3324</v>
      </c>
      <c r="F162" t="s">
        <v>2907</v>
      </c>
      <c r="G162" t="s">
        <v>3325</v>
      </c>
    </row>
    <row r="163" spans="1:7" ht="11.25" customHeight="1">
      <c r="A163" t="s">
        <v>16</v>
      </c>
      <c r="B163" t="s">
        <v>3302</v>
      </c>
      <c r="C163" t="s">
        <v>3303</v>
      </c>
      <c r="D163" t="s">
        <v>3326</v>
      </c>
      <c r="E163" t="s">
        <v>3327</v>
      </c>
      <c r="F163" t="s">
        <v>2907</v>
      </c>
      <c r="G163" t="s">
        <v>3328</v>
      </c>
    </row>
    <row r="164" spans="1:7" ht="11.25" customHeight="1">
      <c r="A164" t="s">
        <v>16</v>
      </c>
      <c r="B164" t="s">
        <v>3329</v>
      </c>
      <c r="C164" t="s">
        <v>3330</v>
      </c>
      <c r="D164" t="s">
        <v>3331</v>
      </c>
      <c r="E164" t="s">
        <v>3332</v>
      </c>
      <c r="F164" t="s">
        <v>2907</v>
      </c>
      <c r="G164" t="s">
        <v>3333</v>
      </c>
    </row>
    <row r="165" spans="1:7" ht="11.25" customHeight="1">
      <c r="A165" t="s">
        <v>16</v>
      </c>
      <c r="B165" t="s">
        <v>3329</v>
      </c>
      <c r="C165" t="s">
        <v>3330</v>
      </c>
      <c r="D165" t="s">
        <v>3334</v>
      </c>
      <c r="E165" t="s">
        <v>3335</v>
      </c>
      <c r="F165" t="s">
        <v>2907</v>
      </c>
      <c r="G165" t="s">
        <v>3336</v>
      </c>
    </row>
    <row r="166" spans="1:7" ht="11.25" customHeight="1">
      <c r="A166" t="s">
        <v>16</v>
      </c>
      <c r="B166" t="s">
        <v>3329</v>
      </c>
      <c r="C166" t="s">
        <v>3330</v>
      </c>
      <c r="D166" t="s">
        <v>3329</v>
      </c>
      <c r="E166" t="s">
        <v>3330</v>
      </c>
      <c r="F166" t="s">
        <v>2908</v>
      </c>
      <c r="G166" t="s">
        <v>3337</v>
      </c>
    </row>
    <row r="167" spans="1:7" ht="11.25" customHeight="1">
      <c r="A167" t="s">
        <v>16</v>
      </c>
      <c r="B167" t="s">
        <v>3329</v>
      </c>
      <c r="C167" t="s">
        <v>3330</v>
      </c>
      <c r="D167" t="s">
        <v>3338</v>
      </c>
      <c r="E167" t="s">
        <v>3339</v>
      </c>
      <c r="F167" t="s">
        <v>2907</v>
      </c>
      <c r="G167" t="s">
        <v>3340</v>
      </c>
    </row>
    <row r="168" spans="1:7" ht="11.25" customHeight="1">
      <c r="A168" t="s">
        <v>16</v>
      </c>
      <c r="B168" t="s">
        <v>3329</v>
      </c>
      <c r="C168" t="s">
        <v>3330</v>
      </c>
      <c r="D168" t="s">
        <v>3341</v>
      </c>
      <c r="E168" t="s">
        <v>3342</v>
      </c>
      <c r="F168" t="s">
        <v>2907</v>
      </c>
      <c r="G168" t="s">
        <v>3343</v>
      </c>
    </row>
    <row r="169" spans="1:7" ht="11.25" customHeight="1">
      <c r="A169" t="s">
        <v>16</v>
      </c>
      <c r="B169" t="s">
        <v>3329</v>
      </c>
      <c r="C169" t="s">
        <v>3330</v>
      </c>
      <c r="D169" t="s">
        <v>3344</v>
      </c>
      <c r="E169" t="s">
        <v>3345</v>
      </c>
      <c r="F169" t="s">
        <v>2907</v>
      </c>
      <c r="G169" t="s">
        <v>3346</v>
      </c>
    </row>
    <row r="170" spans="1:7" ht="11.25" customHeight="1">
      <c r="A170" t="s">
        <v>16</v>
      </c>
      <c r="B170" t="s">
        <v>3329</v>
      </c>
      <c r="C170" t="s">
        <v>3330</v>
      </c>
      <c r="D170" t="s">
        <v>3347</v>
      </c>
      <c r="E170" t="s">
        <v>3348</v>
      </c>
      <c r="F170" t="s">
        <v>2907</v>
      </c>
      <c r="G170" t="s">
        <v>3349</v>
      </c>
    </row>
    <row r="171" spans="1:7" ht="11.25" customHeight="1">
      <c r="A171" t="s">
        <v>16</v>
      </c>
      <c r="B171" t="s">
        <v>3329</v>
      </c>
      <c r="C171" t="s">
        <v>3330</v>
      </c>
      <c r="D171" t="s">
        <v>3350</v>
      </c>
      <c r="E171" t="s">
        <v>3351</v>
      </c>
      <c r="F171" t="s">
        <v>2907</v>
      </c>
      <c r="G171" t="s">
        <v>3352</v>
      </c>
    </row>
    <row r="172" spans="1:7" ht="11.25" customHeight="1">
      <c r="A172" t="s">
        <v>16</v>
      </c>
      <c r="B172" t="s">
        <v>3353</v>
      </c>
      <c r="C172" t="s">
        <v>3354</v>
      </c>
      <c r="D172" t="s">
        <v>3355</v>
      </c>
      <c r="E172" t="s">
        <v>3356</v>
      </c>
      <c r="F172" t="s">
        <v>2907</v>
      </c>
      <c r="G172" t="s">
        <v>3357</v>
      </c>
    </row>
    <row r="173" spans="1:7" ht="11.25" customHeight="1">
      <c r="A173" t="s">
        <v>16</v>
      </c>
      <c r="B173" t="s">
        <v>3353</v>
      </c>
      <c r="C173" t="s">
        <v>3354</v>
      </c>
      <c r="D173" t="s">
        <v>3358</v>
      </c>
      <c r="E173" t="s">
        <v>3359</v>
      </c>
      <c r="F173" t="s">
        <v>2907</v>
      </c>
      <c r="G173" t="s">
        <v>3360</v>
      </c>
    </row>
    <row r="174" spans="1:7" ht="11.25" customHeight="1">
      <c r="A174" t="s">
        <v>16</v>
      </c>
      <c r="B174" t="s">
        <v>3353</v>
      </c>
      <c r="C174" t="s">
        <v>3354</v>
      </c>
      <c r="D174" t="s">
        <v>3361</v>
      </c>
      <c r="E174" t="s">
        <v>3362</v>
      </c>
      <c r="F174" t="s">
        <v>2907</v>
      </c>
      <c r="G174" t="s">
        <v>3363</v>
      </c>
    </row>
    <row r="175" spans="1:7" ht="11.25" customHeight="1">
      <c r="A175" t="s">
        <v>16</v>
      </c>
      <c r="B175" t="s">
        <v>3353</v>
      </c>
      <c r="C175" t="s">
        <v>3354</v>
      </c>
      <c r="D175" t="s">
        <v>3364</v>
      </c>
      <c r="E175" t="s">
        <v>3365</v>
      </c>
      <c r="F175" t="s">
        <v>2907</v>
      </c>
      <c r="G175" t="s">
        <v>3366</v>
      </c>
    </row>
    <row r="176" spans="1:7" ht="11.25" customHeight="1">
      <c r="A176" t="s">
        <v>16</v>
      </c>
      <c r="B176" t="s">
        <v>3353</v>
      </c>
      <c r="C176" t="s">
        <v>3354</v>
      </c>
      <c r="D176" t="s">
        <v>3367</v>
      </c>
      <c r="E176" t="s">
        <v>3368</v>
      </c>
      <c r="F176" t="s">
        <v>2907</v>
      </c>
      <c r="G176" t="s">
        <v>3369</v>
      </c>
    </row>
    <row r="177" spans="1:7" ht="11.25" customHeight="1">
      <c r="A177" t="s">
        <v>16</v>
      </c>
      <c r="B177" t="s">
        <v>3353</v>
      </c>
      <c r="C177" t="s">
        <v>3354</v>
      </c>
      <c r="D177" t="s">
        <v>3353</v>
      </c>
      <c r="E177" t="s">
        <v>3354</v>
      </c>
      <c r="F177" t="s">
        <v>2908</v>
      </c>
      <c r="G177" t="s">
        <v>3370</v>
      </c>
    </row>
    <row r="178" spans="1:7" ht="11.25" customHeight="1">
      <c r="A178" t="s">
        <v>16</v>
      </c>
      <c r="B178" t="s">
        <v>3353</v>
      </c>
      <c r="C178" t="s">
        <v>3354</v>
      </c>
      <c r="D178" t="s">
        <v>3371</v>
      </c>
      <c r="E178" t="s">
        <v>3372</v>
      </c>
      <c r="F178" t="s">
        <v>2907</v>
      </c>
      <c r="G178" t="s">
        <v>3373</v>
      </c>
    </row>
    <row r="179" spans="1:7" ht="11.25" customHeight="1">
      <c r="A179" t="s">
        <v>16</v>
      </c>
      <c r="B179" t="s">
        <v>3353</v>
      </c>
      <c r="C179" t="s">
        <v>3354</v>
      </c>
      <c r="D179" t="s">
        <v>3374</v>
      </c>
      <c r="E179" t="s">
        <v>3375</v>
      </c>
      <c r="F179" t="s">
        <v>2907</v>
      </c>
      <c r="G179" t="s">
        <v>3376</v>
      </c>
    </row>
    <row r="180" spans="1:7" ht="11.25" customHeight="1">
      <c r="A180" t="s">
        <v>16</v>
      </c>
      <c r="B180" t="s">
        <v>3353</v>
      </c>
      <c r="C180" t="s">
        <v>3354</v>
      </c>
      <c r="D180" t="s">
        <v>3377</v>
      </c>
      <c r="E180" t="s">
        <v>3378</v>
      </c>
      <c r="F180" t="s">
        <v>2907</v>
      </c>
      <c r="G180" t="s">
        <v>3379</v>
      </c>
    </row>
    <row r="181" spans="1:7" ht="11.25" customHeight="1">
      <c r="A181" t="s">
        <v>16</v>
      </c>
      <c r="B181" t="s">
        <v>3353</v>
      </c>
      <c r="C181" t="s">
        <v>3354</v>
      </c>
      <c r="D181" t="s">
        <v>3380</v>
      </c>
      <c r="E181" t="s">
        <v>3381</v>
      </c>
      <c r="F181" t="s">
        <v>2907</v>
      </c>
      <c r="G181" t="s">
        <v>3382</v>
      </c>
    </row>
    <row r="182" spans="1:7" ht="11.25" customHeight="1">
      <c r="A182" t="s">
        <v>16</v>
      </c>
      <c r="B182" t="s">
        <v>3353</v>
      </c>
      <c r="C182" t="s">
        <v>3354</v>
      </c>
      <c r="D182" t="s">
        <v>3383</v>
      </c>
      <c r="E182" t="s">
        <v>3384</v>
      </c>
      <c r="F182" t="s">
        <v>2977</v>
      </c>
      <c r="G182" t="s">
        <v>3385</v>
      </c>
    </row>
    <row r="183" spans="1:7" ht="11.25" customHeight="1">
      <c r="A183" t="s">
        <v>16</v>
      </c>
      <c r="B183" t="s">
        <v>3386</v>
      </c>
      <c r="C183" t="s">
        <v>3387</v>
      </c>
      <c r="D183" t="s">
        <v>3388</v>
      </c>
      <c r="E183" t="s">
        <v>3389</v>
      </c>
      <c r="F183" t="s">
        <v>2907</v>
      </c>
      <c r="G183" t="s">
        <v>3390</v>
      </c>
    </row>
    <row r="184" spans="1:7" ht="11.25" customHeight="1">
      <c r="A184" t="s">
        <v>16</v>
      </c>
      <c r="B184" t="s">
        <v>3386</v>
      </c>
      <c r="C184" t="s">
        <v>3387</v>
      </c>
      <c r="D184" t="s">
        <v>3391</v>
      </c>
      <c r="E184" t="s">
        <v>3392</v>
      </c>
      <c r="F184" t="s">
        <v>2907</v>
      </c>
      <c r="G184" t="s">
        <v>3393</v>
      </c>
    </row>
    <row r="185" spans="1:7" ht="11.25" customHeight="1">
      <c r="A185" t="s">
        <v>16</v>
      </c>
      <c r="B185" t="s">
        <v>3386</v>
      </c>
      <c r="C185" t="s">
        <v>3387</v>
      </c>
      <c r="D185" t="s">
        <v>3394</v>
      </c>
      <c r="E185" t="s">
        <v>3395</v>
      </c>
      <c r="F185" t="s">
        <v>2907</v>
      </c>
      <c r="G185" t="s">
        <v>3396</v>
      </c>
    </row>
    <row r="186" spans="1:7" ht="11.25" customHeight="1">
      <c r="A186" t="s">
        <v>16</v>
      </c>
      <c r="B186" t="s">
        <v>3386</v>
      </c>
      <c r="C186" t="s">
        <v>3387</v>
      </c>
      <c r="D186" t="s">
        <v>3397</v>
      </c>
      <c r="E186" t="s">
        <v>3398</v>
      </c>
      <c r="F186" t="s">
        <v>2907</v>
      </c>
      <c r="G186" t="s">
        <v>3399</v>
      </c>
    </row>
    <row r="187" spans="1:7" ht="11.25" customHeight="1">
      <c r="A187" t="s">
        <v>16</v>
      </c>
      <c r="B187" t="s">
        <v>3386</v>
      </c>
      <c r="C187" t="s">
        <v>3387</v>
      </c>
      <c r="D187" t="s">
        <v>3400</v>
      </c>
      <c r="E187" t="s">
        <v>3401</v>
      </c>
      <c r="F187" t="s">
        <v>2907</v>
      </c>
      <c r="G187" t="s">
        <v>3402</v>
      </c>
    </row>
    <row r="188" spans="1:7" ht="11.25" customHeight="1">
      <c r="A188" t="s">
        <v>16</v>
      </c>
      <c r="B188" t="s">
        <v>3386</v>
      </c>
      <c r="C188" t="s">
        <v>3387</v>
      </c>
      <c r="D188" t="s">
        <v>3403</v>
      </c>
      <c r="E188" t="s">
        <v>3404</v>
      </c>
      <c r="F188" t="s">
        <v>2907</v>
      </c>
      <c r="G188" t="s">
        <v>3405</v>
      </c>
    </row>
    <row r="189" spans="1:7" ht="11.25" customHeight="1">
      <c r="A189" t="s">
        <v>16</v>
      </c>
      <c r="B189" t="s">
        <v>3386</v>
      </c>
      <c r="C189" t="s">
        <v>3387</v>
      </c>
      <c r="D189" t="s">
        <v>3406</v>
      </c>
      <c r="E189" t="s">
        <v>3407</v>
      </c>
      <c r="F189" t="s">
        <v>2907</v>
      </c>
      <c r="G189" t="s">
        <v>3408</v>
      </c>
    </row>
    <row r="190" spans="1:7" ht="11.25" customHeight="1">
      <c r="A190" t="s">
        <v>16</v>
      </c>
      <c r="B190" t="s">
        <v>3386</v>
      </c>
      <c r="C190" t="s">
        <v>3387</v>
      </c>
      <c r="D190" t="s">
        <v>3409</v>
      </c>
      <c r="E190" t="s">
        <v>3410</v>
      </c>
      <c r="F190" t="s">
        <v>2907</v>
      </c>
      <c r="G190" t="s">
        <v>3411</v>
      </c>
    </row>
    <row r="191" spans="1:7" ht="11.25" customHeight="1">
      <c r="A191" t="s">
        <v>16</v>
      </c>
      <c r="B191" t="s">
        <v>3386</v>
      </c>
      <c r="C191" t="s">
        <v>3387</v>
      </c>
      <c r="D191" t="s">
        <v>3386</v>
      </c>
      <c r="E191" t="s">
        <v>3387</v>
      </c>
      <c r="F191" t="s">
        <v>2908</v>
      </c>
      <c r="G191" t="s">
        <v>3412</v>
      </c>
    </row>
    <row r="192" spans="1:7" ht="11.25" customHeight="1">
      <c r="A192" t="s">
        <v>16</v>
      </c>
      <c r="B192" t="s">
        <v>3386</v>
      </c>
      <c r="C192" t="s">
        <v>3387</v>
      </c>
      <c r="D192" t="s">
        <v>3413</v>
      </c>
      <c r="E192" t="s">
        <v>3414</v>
      </c>
      <c r="F192" t="s">
        <v>2907</v>
      </c>
      <c r="G192" t="s">
        <v>3415</v>
      </c>
    </row>
    <row r="193" spans="1:7" ht="11.25" customHeight="1">
      <c r="A193" t="s">
        <v>16</v>
      </c>
      <c r="B193" t="s">
        <v>3386</v>
      </c>
      <c r="C193" t="s">
        <v>3387</v>
      </c>
      <c r="D193" t="s">
        <v>3416</v>
      </c>
      <c r="E193" t="s">
        <v>3417</v>
      </c>
      <c r="F193" t="s">
        <v>2907</v>
      </c>
      <c r="G193" t="s">
        <v>3418</v>
      </c>
    </row>
    <row r="194" spans="1:7" ht="11.25" customHeight="1">
      <c r="A194" t="s">
        <v>16</v>
      </c>
      <c r="B194" t="s">
        <v>3386</v>
      </c>
      <c r="C194" t="s">
        <v>3387</v>
      </c>
      <c r="D194" t="s">
        <v>3419</v>
      </c>
      <c r="E194" t="s">
        <v>3420</v>
      </c>
      <c r="F194" t="s">
        <v>2907</v>
      </c>
      <c r="G194" t="s">
        <v>3421</v>
      </c>
    </row>
    <row r="195" spans="1:7" ht="11.25" customHeight="1">
      <c r="A195" t="s">
        <v>16</v>
      </c>
      <c r="B195" t="s">
        <v>3386</v>
      </c>
      <c r="C195" t="s">
        <v>3387</v>
      </c>
      <c r="D195" t="s">
        <v>3422</v>
      </c>
      <c r="E195" t="s">
        <v>3423</v>
      </c>
      <c r="F195" t="s">
        <v>2907</v>
      </c>
      <c r="G195" t="s">
        <v>3424</v>
      </c>
    </row>
    <row r="196" spans="1:7" ht="11.25" customHeight="1">
      <c r="A196" t="s">
        <v>16</v>
      </c>
      <c r="B196" t="s">
        <v>3386</v>
      </c>
      <c r="C196" t="s">
        <v>3387</v>
      </c>
      <c r="D196" t="s">
        <v>3425</v>
      </c>
      <c r="E196" t="s">
        <v>3426</v>
      </c>
      <c r="F196" t="s">
        <v>3032</v>
      </c>
      <c r="G196" t="s">
        <v>3427</v>
      </c>
    </row>
    <row r="197" spans="1:7" ht="11.25" customHeight="1">
      <c r="A197" t="s">
        <v>16</v>
      </c>
      <c r="B197" t="s">
        <v>3428</v>
      </c>
      <c r="C197" t="s">
        <v>3429</v>
      </c>
      <c r="D197" t="s">
        <v>3430</v>
      </c>
      <c r="E197" t="s">
        <v>3431</v>
      </c>
      <c r="F197" t="s">
        <v>2907</v>
      </c>
      <c r="G197" t="s">
        <v>3432</v>
      </c>
    </row>
    <row r="198" spans="1:7" ht="11.25" customHeight="1">
      <c r="A198" t="s">
        <v>16</v>
      </c>
      <c r="B198" t="s">
        <v>3428</v>
      </c>
      <c r="C198" t="s">
        <v>3429</v>
      </c>
      <c r="D198" t="s">
        <v>3433</v>
      </c>
      <c r="E198" t="s">
        <v>3434</v>
      </c>
      <c r="F198" t="s">
        <v>2907</v>
      </c>
      <c r="G198" t="s">
        <v>3435</v>
      </c>
    </row>
    <row r="199" spans="1:7" ht="11.25" customHeight="1">
      <c r="A199" t="s">
        <v>16</v>
      </c>
      <c r="B199" t="s">
        <v>3428</v>
      </c>
      <c r="C199" t="s">
        <v>3429</v>
      </c>
      <c r="D199" t="s">
        <v>3436</v>
      </c>
      <c r="E199" t="s">
        <v>3437</v>
      </c>
      <c r="F199" t="s">
        <v>2907</v>
      </c>
      <c r="G199" t="s">
        <v>3438</v>
      </c>
    </row>
    <row r="200" spans="1:7" ht="11.25" customHeight="1">
      <c r="A200" t="s">
        <v>16</v>
      </c>
      <c r="B200" t="s">
        <v>3428</v>
      </c>
      <c r="C200" t="s">
        <v>3429</v>
      </c>
      <c r="D200" t="s">
        <v>3439</v>
      </c>
      <c r="E200" t="s">
        <v>3440</v>
      </c>
      <c r="F200" t="s">
        <v>2907</v>
      </c>
      <c r="G200" t="s">
        <v>3441</v>
      </c>
    </row>
    <row r="201" spans="1:7" ht="11.25" customHeight="1">
      <c r="A201" t="s">
        <v>16</v>
      </c>
      <c r="B201" t="s">
        <v>3428</v>
      </c>
      <c r="C201" t="s">
        <v>3429</v>
      </c>
      <c r="D201" t="s">
        <v>3442</v>
      </c>
      <c r="E201" t="s">
        <v>3443</v>
      </c>
      <c r="F201" t="s">
        <v>2907</v>
      </c>
      <c r="G201" t="s">
        <v>3444</v>
      </c>
    </row>
    <row r="202" spans="1:7" ht="11.25" customHeight="1">
      <c r="A202" t="s">
        <v>16</v>
      </c>
      <c r="B202" t="s">
        <v>3428</v>
      </c>
      <c r="C202" t="s">
        <v>3429</v>
      </c>
      <c r="D202" t="s">
        <v>2994</v>
      </c>
      <c r="E202" t="s">
        <v>3445</v>
      </c>
      <c r="F202" t="s">
        <v>2907</v>
      </c>
      <c r="G202" t="s">
        <v>3446</v>
      </c>
    </row>
    <row r="203" spans="1:7" ht="11.25" customHeight="1">
      <c r="A203" t="s">
        <v>16</v>
      </c>
      <c r="B203" t="s">
        <v>3428</v>
      </c>
      <c r="C203" t="s">
        <v>3429</v>
      </c>
      <c r="D203" t="s">
        <v>3428</v>
      </c>
      <c r="E203" t="s">
        <v>3429</v>
      </c>
      <c r="F203" t="s">
        <v>2908</v>
      </c>
      <c r="G203" t="s">
        <v>3447</v>
      </c>
    </row>
    <row r="204" spans="1:7" ht="11.25" customHeight="1">
      <c r="A204" t="s">
        <v>16</v>
      </c>
      <c r="B204" t="s">
        <v>3428</v>
      </c>
      <c r="C204" t="s">
        <v>3429</v>
      </c>
      <c r="D204" t="s">
        <v>3448</v>
      </c>
      <c r="E204" t="s">
        <v>3449</v>
      </c>
      <c r="F204" t="s">
        <v>2907</v>
      </c>
      <c r="G204" t="s">
        <v>3450</v>
      </c>
    </row>
    <row r="205" spans="1:7" ht="11.25" customHeight="1">
      <c r="A205" t="s">
        <v>16</v>
      </c>
      <c r="B205" t="s">
        <v>3428</v>
      </c>
      <c r="C205" t="s">
        <v>3429</v>
      </c>
      <c r="D205" t="s">
        <v>3451</v>
      </c>
      <c r="E205" t="s">
        <v>3452</v>
      </c>
      <c r="F205" t="s">
        <v>2907</v>
      </c>
      <c r="G205" t="s">
        <v>3453</v>
      </c>
    </row>
    <row r="206" spans="1:7" ht="11.25" customHeight="1">
      <c r="A206" t="s">
        <v>16</v>
      </c>
      <c r="B206" t="s">
        <v>3428</v>
      </c>
      <c r="C206" t="s">
        <v>3429</v>
      </c>
      <c r="D206" t="s">
        <v>3454</v>
      </c>
      <c r="E206" t="s">
        <v>3455</v>
      </c>
      <c r="F206" t="s">
        <v>2907</v>
      </c>
      <c r="G206" t="s">
        <v>3456</v>
      </c>
    </row>
    <row r="207" spans="1:7" ht="11.25" customHeight="1">
      <c r="A207" t="s">
        <v>16</v>
      </c>
      <c r="B207" t="s">
        <v>3428</v>
      </c>
      <c r="C207" t="s">
        <v>3429</v>
      </c>
      <c r="D207" t="s">
        <v>3457</v>
      </c>
      <c r="E207" t="s">
        <v>3458</v>
      </c>
      <c r="F207" t="s">
        <v>2907</v>
      </c>
      <c r="G207" t="s">
        <v>3459</v>
      </c>
    </row>
    <row r="208" spans="1:7" ht="11.25" customHeight="1">
      <c r="A208" t="s">
        <v>16</v>
      </c>
      <c r="B208" t="s">
        <v>3428</v>
      </c>
      <c r="C208" t="s">
        <v>3429</v>
      </c>
      <c r="D208" t="s">
        <v>3460</v>
      </c>
      <c r="E208" t="s">
        <v>3461</v>
      </c>
      <c r="F208" t="s">
        <v>2977</v>
      </c>
      <c r="G208" t="s">
        <v>3462</v>
      </c>
    </row>
    <row r="209" spans="1:7" ht="11.25" customHeight="1">
      <c r="A209" t="s">
        <v>16</v>
      </c>
      <c r="B209" t="s">
        <v>3463</v>
      </c>
      <c r="C209" t="s">
        <v>3464</v>
      </c>
      <c r="D209" t="s">
        <v>3465</v>
      </c>
      <c r="E209" t="s">
        <v>3466</v>
      </c>
      <c r="F209" t="s">
        <v>2907</v>
      </c>
      <c r="G209" t="s">
        <v>3467</v>
      </c>
    </row>
    <row r="210" spans="1:7" ht="11.25" customHeight="1">
      <c r="A210" t="s">
        <v>16</v>
      </c>
      <c r="B210" t="s">
        <v>3463</v>
      </c>
      <c r="C210" t="s">
        <v>3464</v>
      </c>
      <c r="D210" t="s">
        <v>3468</v>
      </c>
      <c r="E210" t="s">
        <v>3469</v>
      </c>
      <c r="F210" t="s">
        <v>2907</v>
      </c>
      <c r="G210" t="s">
        <v>3470</v>
      </c>
    </row>
    <row r="211" spans="1:7" ht="11.25" customHeight="1">
      <c r="A211" t="s">
        <v>16</v>
      </c>
      <c r="B211" t="s">
        <v>3463</v>
      </c>
      <c r="C211" t="s">
        <v>3464</v>
      </c>
      <c r="D211" t="s">
        <v>3471</v>
      </c>
      <c r="E211" t="s">
        <v>3472</v>
      </c>
      <c r="F211" t="s">
        <v>2907</v>
      </c>
      <c r="G211" t="s">
        <v>3473</v>
      </c>
    </row>
    <row r="212" spans="1:7" ht="11.25" customHeight="1">
      <c r="A212" t="s">
        <v>16</v>
      </c>
      <c r="B212" t="s">
        <v>3463</v>
      </c>
      <c r="C212" t="s">
        <v>3464</v>
      </c>
      <c r="D212" t="s">
        <v>3474</v>
      </c>
      <c r="E212" t="s">
        <v>3475</v>
      </c>
      <c r="F212" t="s">
        <v>2907</v>
      </c>
      <c r="G212" t="s">
        <v>3476</v>
      </c>
    </row>
    <row r="213" spans="1:7" ht="11.25" customHeight="1">
      <c r="A213" t="s">
        <v>16</v>
      </c>
      <c r="B213" t="s">
        <v>3463</v>
      </c>
      <c r="C213" t="s">
        <v>3464</v>
      </c>
      <c r="D213" t="s">
        <v>3477</v>
      </c>
      <c r="E213" t="s">
        <v>3478</v>
      </c>
      <c r="F213" t="s">
        <v>2907</v>
      </c>
      <c r="G213" t="s">
        <v>3479</v>
      </c>
    </row>
    <row r="214" spans="1:7" ht="11.25" customHeight="1">
      <c r="A214" t="s">
        <v>16</v>
      </c>
      <c r="B214" t="s">
        <v>3463</v>
      </c>
      <c r="C214" t="s">
        <v>3464</v>
      </c>
      <c r="D214" t="s">
        <v>3480</v>
      </c>
      <c r="E214" t="s">
        <v>3481</v>
      </c>
      <c r="F214" t="s">
        <v>2907</v>
      </c>
      <c r="G214" t="s">
        <v>3482</v>
      </c>
    </row>
    <row r="215" spans="1:7" ht="11.25" customHeight="1">
      <c r="A215" t="s">
        <v>16</v>
      </c>
      <c r="B215" t="s">
        <v>3463</v>
      </c>
      <c r="C215" t="s">
        <v>3464</v>
      </c>
      <c r="D215" t="s">
        <v>3483</v>
      </c>
      <c r="E215" t="s">
        <v>3484</v>
      </c>
      <c r="F215" t="s">
        <v>2907</v>
      </c>
      <c r="G215" t="s">
        <v>3485</v>
      </c>
    </row>
    <row r="216" spans="1:7" ht="11.25" customHeight="1">
      <c r="A216" t="s">
        <v>16</v>
      </c>
      <c r="B216" t="s">
        <v>3463</v>
      </c>
      <c r="C216" t="s">
        <v>3464</v>
      </c>
      <c r="D216" t="s">
        <v>3463</v>
      </c>
      <c r="E216" t="s">
        <v>3464</v>
      </c>
      <c r="F216" t="s">
        <v>2908</v>
      </c>
      <c r="G216" t="s">
        <v>3486</v>
      </c>
    </row>
    <row r="217" spans="1:7" ht="11.25" customHeight="1">
      <c r="A217" t="s">
        <v>16</v>
      </c>
      <c r="B217" t="s">
        <v>3463</v>
      </c>
      <c r="C217" t="s">
        <v>3464</v>
      </c>
      <c r="D217" t="s">
        <v>3487</v>
      </c>
      <c r="E217" t="s">
        <v>3488</v>
      </c>
      <c r="F217" t="s">
        <v>2977</v>
      </c>
      <c r="G217" t="s">
        <v>3489</v>
      </c>
    </row>
    <row r="218" spans="1:7" ht="11.25" customHeight="1">
      <c r="A218" t="s">
        <v>16</v>
      </c>
      <c r="B218" t="s">
        <v>3490</v>
      </c>
      <c r="C218" t="s">
        <v>3491</v>
      </c>
      <c r="D218" t="s">
        <v>3492</v>
      </c>
      <c r="E218" t="s">
        <v>3493</v>
      </c>
      <c r="F218" t="s">
        <v>2907</v>
      </c>
      <c r="G218" t="s">
        <v>3494</v>
      </c>
    </row>
    <row r="219" spans="1:7" ht="11.25" customHeight="1">
      <c r="A219" t="s">
        <v>16</v>
      </c>
      <c r="B219" t="s">
        <v>3490</v>
      </c>
      <c r="C219" t="s">
        <v>3491</v>
      </c>
      <c r="D219" t="s">
        <v>3124</v>
      </c>
      <c r="E219" t="s">
        <v>3495</v>
      </c>
      <c r="F219" t="s">
        <v>2907</v>
      </c>
      <c r="G219" t="s">
        <v>3496</v>
      </c>
    </row>
    <row r="220" spans="1:7" ht="11.25" customHeight="1">
      <c r="A220" t="s">
        <v>16</v>
      </c>
      <c r="B220" t="s">
        <v>3490</v>
      </c>
      <c r="C220" t="s">
        <v>3491</v>
      </c>
      <c r="D220" t="s">
        <v>3497</v>
      </c>
      <c r="E220" t="s">
        <v>3498</v>
      </c>
      <c r="F220" t="s">
        <v>2907</v>
      </c>
      <c r="G220" t="s">
        <v>3499</v>
      </c>
    </row>
    <row r="221" spans="1:7" ht="11.25" customHeight="1">
      <c r="A221" t="s">
        <v>16</v>
      </c>
      <c r="B221" t="s">
        <v>3490</v>
      </c>
      <c r="C221" t="s">
        <v>3491</v>
      </c>
      <c r="D221" t="s">
        <v>3490</v>
      </c>
      <c r="E221" t="s">
        <v>3491</v>
      </c>
      <c r="F221" t="s">
        <v>2908</v>
      </c>
      <c r="G221" t="s">
        <v>3500</v>
      </c>
    </row>
    <row r="222" spans="1:7" ht="11.25" customHeight="1">
      <c r="A222" t="s">
        <v>16</v>
      </c>
      <c r="B222" t="s">
        <v>3490</v>
      </c>
      <c r="C222" t="s">
        <v>3491</v>
      </c>
      <c r="D222" t="s">
        <v>3501</v>
      </c>
      <c r="E222" t="s">
        <v>3502</v>
      </c>
      <c r="F222" t="s">
        <v>2907</v>
      </c>
      <c r="G222" t="s">
        <v>3503</v>
      </c>
    </row>
    <row r="223" spans="1:7" ht="11.25" customHeight="1">
      <c r="A223" t="s">
        <v>16</v>
      </c>
      <c r="B223" t="s">
        <v>3490</v>
      </c>
      <c r="C223" t="s">
        <v>3491</v>
      </c>
      <c r="D223" t="s">
        <v>3504</v>
      </c>
      <c r="E223" t="s">
        <v>3505</v>
      </c>
      <c r="F223" t="s">
        <v>2907</v>
      </c>
      <c r="G223" t="s">
        <v>3506</v>
      </c>
    </row>
    <row r="224" spans="1:7" ht="11.25" customHeight="1">
      <c r="A224" t="s">
        <v>16</v>
      </c>
      <c r="B224" t="s">
        <v>3490</v>
      </c>
      <c r="C224" t="s">
        <v>3491</v>
      </c>
      <c r="D224" t="s">
        <v>3507</v>
      </c>
      <c r="E224" t="s">
        <v>3508</v>
      </c>
      <c r="F224" t="s">
        <v>2907</v>
      </c>
      <c r="G224" t="s">
        <v>3509</v>
      </c>
    </row>
    <row r="225" spans="1:7" ht="11.25" customHeight="1">
      <c r="A225" t="s">
        <v>16</v>
      </c>
      <c r="B225" t="s">
        <v>3490</v>
      </c>
      <c r="C225" t="s">
        <v>3491</v>
      </c>
      <c r="D225" t="s">
        <v>3510</v>
      </c>
      <c r="E225" t="s">
        <v>3511</v>
      </c>
      <c r="F225" t="s">
        <v>2907</v>
      </c>
      <c r="G225" t="s">
        <v>3512</v>
      </c>
    </row>
    <row r="226" spans="1:7" ht="11.25" customHeight="1">
      <c r="A226" t="s">
        <v>16</v>
      </c>
      <c r="B226" t="s">
        <v>3490</v>
      </c>
      <c r="C226" t="s">
        <v>3491</v>
      </c>
      <c r="D226" t="s">
        <v>3513</v>
      </c>
      <c r="E226" t="s">
        <v>3514</v>
      </c>
      <c r="F226" t="s">
        <v>2907</v>
      </c>
      <c r="G226" t="s">
        <v>3515</v>
      </c>
    </row>
    <row r="227" spans="1:7" ht="11.25" customHeight="1">
      <c r="A227" t="s">
        <v>16</v>
      </c>
      <c r="B227" t="s">
        <v>3490</v>
      </c>
      <c r="C227" t="s">
        <v>3491</v>
      </c>
      <c r="D227" t="s">
        <v>3516</v>
      </c>
      <c r="E227" t="s">
        <v>3517</v>
      </c>
      <c r="F227" t="s">
        <v>2977</v>
      </c>
      <c r="G227" t="s">
        <v>3518</v>
      </c>
    </row>
    <row r="228" spans="1:7" ht="11.25" customHeight="1">
      <c r="A228" t="s">
        <v>16</v>
      </c>
      <c r="B228" t="s">
        <v>3490</v>
      </c>
      <c r="C228" t="s">
        <v>3491</v>
      </c>
      <c r="D228" t="s">
        <v>3519</v>
      </c>
      <c r="E228" t="s">
        <v>3520</v>
      </c>
      <c r="F228" t="s">
        <v>2977</v>
      </c>
      <c r="G228" t="s">
        <v>3521</v>
      </c>
    </row>
    <row r="229" spans="1:7" ht="11.25" customHeight="1">
      <c r="A229" t="s">
        <v>16</v>
      </c>
      <c r="B229" t="s">
        <v>3522</v>
      </c>
      <c r="C229" t="s">
        <v>3523</v>
      </c>
      <c r="D229" t="s">
        <v>3524</v>
      </c>
      <c r="E229" t="s">
        <v>3525</v>
      </c>
      <c r="F229" t="s">
        <v>2907</v>
      </c>
      <c r="G229" t="s">
        <v>3526</v>
      </c>
    </row>
    <row r="230" spans="1:7" ht="11.25" customHeight="1">
      <c r="A230" t="s">
        <v>16</v>
      </c>
      <c r="B230" t="s">
        <v>3522</v>
      </c>
      <c r="C230" t="s">
        <v>3523</v>
      </c>
      <c r="D230" t="s">
        <v>3527</v>
      </c>
      <c r="E230" t="s">
        <v>3528</v>
      </c>
      <c r="F230" t="s">
        <v>2907</v>
      </c>
      <c r="G230" t="s">
        <v>3529</v>
      </c>
    </row>
    <row r="231" spans="1:7" ht="11.25" customHeight="1">
      <c r="A231" t="s">
        <v>16</v>
      </c>
      <c r="B231" t="s">
        <v>3522</v>
      </c>
      <c r="C231" t="s">
        <v>3523</v>
      </c>
      <c r="D231" t="s">
        <v>3530</v>
      </c>
      <c r="E231" t="s">
        <v>3531</v>
      </c>
      <c r="F231" t="s">
        <v>2907</v>
      </c>
      <c r="G231" t="s">
        <v>3532</v>
      </c>
    </row>
    <row r="232" spans="1:7" ht="11.25" customHeight="1">
      <c r="A232" t="s">
        <v>16</v>
      </c>
      <c r="B232" t="s">
        <v>3522</v>
      </c>
      <c r="C232" t="s">
        <v>3523</v>
      </c>
      <c r="D232" t="s">
        <v>3533</v>
      </c>
      <c r="E232" t="s">
        <v>3534</v>
      </c>
      <c r="F232" t="s">
        <v>2907</v>
      </c>
      <c r="G232" t="s">
        <v>3535</v>
      </c>
    </row>
    <row r="233" spans="1:7" ht="11.25" customHeight="1">
      <c r="A233" t="s">
        <v>16</v>
      </c>
      <c r="B233" t="s">
        <v>3522</v>
      </c>
      <c r="C233" t="s">
        <v>3523</v>
      </c>
      <c r="D233" t="s">
        <v>3536</v>
      </c>
      <c r="E233" t="s">
        <v>3537</v>
      </c>
      <c r="F233" t="s">
        <v>2907</v>
      </c>
      <c r="G233" t="s">
        <v>3538</v>
      </c>
    </row>
    <row r="234" spans="1:7" ht="11.25" customHeight="1">
      <c r="A234" t="s">
        <v>16</v>
      </c>
      <c r="B234" t="s">
        <v>3522</v>
      </c>
      <c r="C234" t="s">
        <v>3523</v>
      </c>
      <c r="D234" t="s">
        <v>3539</v>
      </c>
      <c r="E234" t="s">
        <v>3540</v>
      </c>
      <c r="F234" t="s">
        <v>2907</v>
      </c>
      <c r="G234" t="s">
        <v>3541</v>
      </c>
    </row>
    <row r="235" spans="1:7" ht="11.25" customHeight="1">
      <c r="A235" t="s">
        <v>16</v>
      </c>
      <c r="B235" t="s">
        <v>3522</v>
      </c>
      <c r="C235" t="s">
        <v>3523</v>
      </c>
      <c r="D235" t="s">
        <v>3053</v>
      </c>
      <c r="E235" t="s">
        <v>3542</v>
      </c>
      <c r="F235" t="s">
        <v>2907</v>
      </c>
      <c r="G235" t="s">
        <v>3543</v>
      </c>
    </row>
    <row r="236" spans="1:7" ht="11.25" customHeight="1">
      <c r="A236" t="s">
        <v>16</v>
      </c>
      <c r="B236" t="s">
        <v>3522</v>
      </c>
      <c r="C236" t="s">
        <v>3523</v>
      </c>
      <c r="D236" t="s">
        <v>3544</v>
      </c>
      <c r="E236" t="s">
        <v>3545</v>
      </c>
      <c r="F236" t="s">
        <v>2907</v>
      </c>
      <c r="G236" t="s">
        <v>3546</v>
      </c>
    </row>
    <row r="237" spans="1:7" ht="11.25" customHeight="1">
      <c r="A237" t="s">
        <v>16</v>
      </c>
      <c r="B237" t="s">
        <v>3522</v>
      </c>
      <c r="C237" t="s">
        <v>3523</v>
      </c>
      <c r="D237" t="s">
        <v>3547</v>
      </c>
      <c r="E237" t="s">
        <v>3548</v>
      </c>
      <c r="F237" t="s">
        <v>2907</v>
      </c>
      <c r="G237" t="s">
        <v>3549</v>
      </c>
    </row>
    <row r="238" spans="1:7" ht="11.25" customHeight="1">
      <c r="A238" t="s">
        <v>16</v>
      </c>
      <c r="B238" t="s">
        <v>3522</v>
      </c>
      <c r="C238" t="s">
        <v>3523</v>
      </c>
      <c r="D238" t="s">
        <v>3550</v>
      </c>
      <c r="E238" t="s">
        <v>3551</v>
      </c>
      <c r="F238" t="s">
        <v>2907</v>
      </c>
      <c r="G238" t="s">
        <v>3552</v>
      </c>
    </row>
    <row r="239" spans="1:7" ht="11.25" customHeight="1">
      <c r="A239" t="s">
        <v>16</v>
      </c>
      <c r="B239" t="s">
        <v>3522</v>
      </c>
      <c r="C239" t="s">
        <v>3523</v>
      </c>
      <c r="D239" t="s">
        <v>3553</v>
      </c>
      <c r="E239" t="s">
        <v>3554</v>
      </c>
      <c r="F239" t="s">
        <v>2907</v>
      </c>
      <c r="G239" t="s">
        <v>3555</v>
      </c>
    </row>
    <row r="240" spans="1:7" ht="11.25" customHeight="1">
      <c r="A240" t="s">
        <v>16</v>
      </c>
      <c r="B240" t="s">
        <v>3522</v>
      </c>
      <c r="C240" t="s">
        <v>3523</v>
      </c>
      <c r="D240" t="s">
        <v>3556</v>
      </c>
      <c r="E240" t="s">
        <v>3557</v>
      </c>
      <c r="F240" t="s">
        <v>2907</v>
      </c>
      <c r="G240" t="s">
        <v>3558</v>
      </c>
    </row>
    <row r="241" spans="1:7" ht="11.25" customHeight="1">
      <c r="A241" t="s">
        <v>16</v>
      </c>
      <c r="B241" t="s">
        <v>3522</v>
      </c>
      <c r="C241" t="s">
        <v>3523</v>
      </c>
      <c r="D241" t="s">
        <v>3522</v>
      </c>
      <c r="E241" t="s">
        <v>3523</v>
      </c>
      <c r="F241" t="s">
        <v>2908</v>
      </c>
      <c r="G241" t="s">
        <v>3559</v>
      </c>
    </row>
    <row r="242" spans="1:7" ht="11.25" customHeight="1">
      <c r="A242" t="s">
        <v>16</v>
      </c>
      <c r="B242" t="s">
        <v>3522</v>
      </c>
      <c r="C242" t="s">
        <v>3523</v>
      </c>
      <c r="D242" t="s">
        <v>3065</v>
      </c>
      <c r="E242" t="s">
        <v>3560</v>
      </c>
      <c r="F242" t="s">
        <v>2907</v>
      </c>
      <c r="G242" t="s">
        <v>3561</v>
      </c>
    </row>
    <row r="243" spans="1:7" ht="11.25" customHeight="1">
      <c r="A243" t="s">
        <v>16</v>
      </c>
      <c r="B243" t="s">
        <v>3522</v>
      </c>
      <c r="C243" t="s">
        <v>3523</v>
      </c>
      <c r="D243" t="s">
        <v>3562</v>
      </c>
      <c r="E243" t="s">
        <v>3563</v>
      </c>
      <c r="F243" t="s">
        <v>2907</v>
      </c>
      <c r="G243" t="s">
        <v>3564</v>
      </c>
    </row>
    <row r="244" spans="1:7" ht="11.25" customHeight="1">
      <c r="A244" t="s">
        <v>16</v>
      </c>
      <c r="B244" t="s">
        <v>3522</v>
      </c>
      <c r="C244" t="s">
        <v>3523</v>
      </c>
      <c r="D244" t="s">
        <v>3565</v>
      </c>
      <c r="E244" t="s">
        <v>3566</v>
      </c>
      <c r="F244" t="s">
        <v>3032</v>
      </c>
      <c r="G244" t="s">
        <v>3567</v>
      </c>
    </row>
    <row r="245" spans="1:7" ht="11.25" customHeight="1">
      <c r="A245" t="s">
        <v>16</v>
      </c>
      <c r="B245" t="s">
        <v>3568</v>
      </c>
      <c r="C245" t="s">
        <v>3569</v>
      </c>
      <c r="D245" t="s">
        <v>3570</v>
      </c>
      <c r="E245" t="s">
        <v>3571</v>
      </c>
      <c r="F245" t="s">
        <v>2907</v>
      </c>
      <c r="G245" t="s">
        <v>3572</v>
      </c>
    </row>
    <row r="246" spans="1:7" ht="11.25" customHeight="1">
      <c r="A246" t="s">
        <v>16</v>
      </c>
      <c r="B246" t="s">
        <v>3568</v>
      </c>
      <c r="C246" t="s">
        <v>3569</v>
      </c>
      <c r="D246" t="s">
        <v>3573</v>
      </c>
      <c r="E246" t="s">
        <v>3574</v>
      </c>
      <c r="F246" t="s">
        <v>2907</v>
      </c>
      <c r="G246" t="s">
        <v>3575</v>
      </c>
    </row>
    <row r="247" spans="1:7" ht="11.25" customHeight="1">
      <c r="A247" t="s">
        <v>16</v>
      </c>
      <c r="B247" t="s">
        <v>3568</v>
      </c>
      <c r="C247" t="s">
        <v>3569</v>
      </c>
      <c r="D247" t="s">
        <v>3576</v>
      </c>
      <c r="E247" t="s">
        <v>3577</v>
      </c>
      <c r="F247" t="s">
        <v>2907</v>
      </c>
      <c r="G247" t="s">
        <v>3578</v>
      </c>
    </row>
    <row r="248" spans="1:7" ht="11.25" customHeight="1">
      <c r="A248" t="s">
        <v>16</v>
      </c>
      <c r="B248" t="s">
        <v>3568</v>
      </c>
      <c r="C248" t="s">
        <v>3569</v>
      </c>
      <c r="D248" t="s">
        <v>3127</v>
      </c>
      <c r="E248" t="s">
        <v>3579</v>
      </c>
      <c r="F248" t="s">
        <v>2907</v>
      </c>
      <c r="G248" t="s">
        <v>3580</v>
      </c>
    </row>
    <row r="249" spans="1:7" ht="11.25" customHeight="1">
      <c r="A249" t="s">
        <v>16</v>
      </c>
      <c r="B249" t="s">
        <v>3568</v>
      </c>
      <c r="C249" t="s">
        <v>3569</v>
      </c>
      <c r="D249" t="s">
        <v>3581</v>
      </c>
      <c r="E249" t="s">
        <v>3582</v>
      </c>
      <c r="F249" t="s">
        <v>2907</v>
      </c>
      <c r="G249" t="s">
        <v>3583</v>
      </c>
    </row>
    <row r="250" spans="1:7" ht="11.25" customHeight="1">
      <c r="A250" t="s">
        <v>16</v>
      </c>
      <c r="B250" t="s">
        <v>3568</v>
      </c>
      <c r="C250" t="s">
        <v>3569</v>
      </c>
      <c r="D250" t="s">
        <v>3136</v>
      </c>
      <c r="E250" t="s">
        <v>3584</v>
      </c>
      <c r="F250" t="s">
        <v>2907</v>
      </c>
      <c r="G250" t="s">
        <v>3585</v>
      </c>
    </row>
    <row r="251" spans="1:7" ht="11.25" customHeight="1">
      <c r="A251" t="s">
        <v>16</v>
      </c>
      <c r="B251" t="s">
        <v>3568</v>
      </c>
      <c r="C251" t="s">
        <v>3569</v>
      </c>
      <c r="D251" t="s">
        <v>3586</v>
      </c>
      <c r="E251" t="s">
        <v>3587</v>
      </c>
      <c r="F251" t="s">
        <v>2907</v>
      </c>
      <c r="G251" t="s">
        <v>3588</v>
      </c>
    </row>
    <row r="252" spans="1:7" ht="11.25" customHeight="1">
      <c r="A252" t="s">
        <v>16</v>
      </c>
      <c r="B252" t="s">
        <v>3568</v>
      </c>
      <c r="C252" t="s">
        <v>3569</v>
      </c>
      <c r="D252" t="s">
        <v>3589</v>
      </c>
      <c r="E252" t="s">
        <v>3590</v>
      </c>
      <c r="F252" t="s">
        <v>2907</v>
      </c>
      <c r="G252" t="s">
        <v>3591</v>
      </c>
    </row>
    <row r="253" spans="1:7" ht="11.25" customHeight="1">
      <c r="A253" t="s">
        <v>16</v>
      </c>
      <c r="B253" t="s">
        <v>3568</v>
      </c>
      <c r="C253" t="s">
        <v>3569</v>
      </c>
      <c r="D253" t="s">
        <v>3592</v>
      </c>
      <c r="E253" t="s">
        <v>3593</v>
      </c>
      <c r="F253" t="s">
        <v>2907</v>
      </c>
      <c r="G253" t="s">
        <v>3594</v>
      </c>
    </row>
    <row r="254" spans="1:7" ht="11.25" customHeight="1">
      <c r="A254" t="s">
        <v>16</v>
      </c>
      <c r="B254" t="s">
        <v>3568</v>
      </c>
      <c r="C254" t="s">
        <v>3569</v>
      </c>
      <c r="D254" t="s">
        <v>3568</v>
      </c>
      <c r="E254" t="s">
        <v>3569</v>
      </c>
      <c r="F254" t="s">
        <v>2908</v>
      </c>
      <c r="G254" t="s">
        <v>3595</v>
      </c>
    </row>
    <row r="255" spans="1:7" ht="11.25" customHeight="1">
      <c r="A255" t="s">
        <v>16</v>
      </c>
      <c r="B255" t="s">
        <v>3568</v>
      </c>
      <c r="C255" t="s">
        <v>3569</v>
      </c>
      <c r="D255" t="s">
        <v>3596</v>
      </c>
      <c r="E255" t="s">
        <v>3597</v>
      </c>
      <c r="F255" t="s">
        <v>2907</v>
      </c>
      <c r="G255" t="s">
        <v>3598</v>
      </c>
    </row>
    <row r="256" spans="1:7" ht="11.25" customHeight="1">
      <c r="A256" t="s">
        <v>16</v>
      </c>
      <c r="B256" t="s">
        <v>3568</v>
      </c>
      <c r="C256" t="s">
        <v>3569</v>
      </c>
      <c r="D256" t="s">
        <v>3599</v>
      </c>
      <c r="E256" t="s">
        <v>3600</v>
      </c>
      <c r="F256" t="s">
        <v>2977</v>
      </c>
      <c r="G256" t="s">
        <v>3601</v>
      </c>
    </row>
    <row r="257" spans="1:7" ht="11.25" customHeight="1">
      <c r="A257" t="s">
        <v>16</v>
      </c>
      <c r="B257" t="s">
        <v>3602</v>
      </c>
      <c r="C257" t="s">
        <v>3603</v>
      </c>
      <c r="D257" t="s">
        <v>3604</v>
      </c>
      <c r="E257" t="s">
        <v>3605</v>
      </c>
      <c r="F257" t="s">
        <v>2907</v>
      </c>
      <c r="G257" t="s">
        <v>3606</v>
      </c>
    </row>
    <row r="258" spans="1:7" ht="11.25" customHeight="1">
      <c r="A258" t="s">
        <v>16</v>
      </c>
      <c r="B258" t="s">
        <v>3602</v>
      </c>
      <c r="C258" t="s">
        <v>3603</v>
      </c>
      <c r="D258" t="s">
        <v>3607</v>
      </c>
      <c r="E258" t="s">
        <v>3608</v>
      </c>
      <c r="F258" t="s">
        <v>2907</v>
      </c>
      <c r="G258" t="s">
        <v>3609</v>
      </c>
    </row>
    <row r="259" spans="1:7" ht="11.25" customHeight="1">
      <c r="A259" t="s">
        <v>16</v>
      </c>
      <c r="B259" t="s">
        <v>3602</v>
      </c>
      <c r="C259" t="s">
        <v>3603</v>
      </c>
      <c r="D259" t="s">
        <v>3530</v>
      </c>
      <c r="E259" t="s">
        <v>3610</v>
      </c>
      <c r="F259" t="s">
        <v>2907</v>
      </c>
      <c r="G259" t="s">
        <v>3611</v>
      </c>
    </row>
    <row r="260" spans="1:7" ht="11.25" customHeight="1">
      <c r="A260" t="s">
        <v>16</v>
      </c>
      <c r="B260" t="s">
        <v>3602</v>
      </c>
      <c r="C260" t="s">
        <v>3603</v>
      </c>
      <c r="D260" t="s">
        <v>3602</v>
      </c>
      <c r="E260" t="s">
        <v>3603</v>
      </c>
      <c r="F260" t="s">
        <v>2908</v>
      </c>
      <c r="G260" t="s">
        <v>3612</v>
      </c>
    </row>
    <row r="261" spans="1:7" ht="11.25" customHeight="1">
      <c r="A261" t="s">
        <v>16</v>
      </c>
      <c r="B261" t="s">
        <v>3602</v>
      </c>
      <c r="C261" t="s">
        <v>3603</v>
      </c>
      <c r="D261" t="s">
        <v>3613</v>
      </c>
      <c r="E261" t="s">
        <v>3614</v>
      </c>
      <c r="F261" t="s">
        <v>2907</v>
      </c>
      <c r="G261" t="s">
        <v>3615</v>
      </c>
    </row>
    <row r="262" spans="1:7" ht="11.25" customHeight="1">
      <c r="A262" t="s">
        <v>16</v>
      </c>
      <c r="B262" t="s">
        <v>3602</v>
      </c>
      <c r="C262" t="s">
        <v>3603</v>
      </c>
      <c r="D262" t="s">
        <v>3616</v>
      </c>
      <c r="E262" t="s">
        <v>3617</v>
      </c>
      <c r="F262" t="s">
        <v>2907</v>
      </c>
      <c r="G262" t="s">
        <v>3618</v>
      </c>
    </row>
    <row r="263" spans="1:7" ht="11.25" customHeight="1">
      <c r="A263" t="s">
        <v>16</v>
      </c>
      <c r="B263" t="s">
        <v>3602</v>
      </c>
      <c r="C263" t="s">
        <v>3603</v>
      </c>
      <c r="D263" t="s">
        <v>3269</v>
      </c>
      <c r="E263" t="s">
        <v>3619</v>
      </c>
      <c r="F263" t="s">
        <v>2907</v>
      </c>
      <c r="G263" t="s">
        <v>3620</v>
      </c>
    </row>
    <row r="264" spans="1:7" ht="11.25" customHeight="1">
      <c r="A264" t="s">
        <v>16</v>
      </c>
      <c r="B264" t="s">
        <v>3602</v>
      </c>
      <c r="C264" t="s">
        <v>3603</v>
      </c>
      <c r="D264" t="s">
        <v>3621</v>
      </c>
      <c r="E264" t="s">
        <v>3622</v>
      </c>
      <c r="F264" t="s">
        <v>2977</v>
      </c>
      <c r="G264" t="s">
        <v>3623</v>
      </c>
    </row>
    <row r="265" spans="1:7" ht="11.25" customHeight="1">
      <c r="A265" t="s">
        <v>16</v>
      </c>
      <c r="B265" t="s">
        <v>3624</v>
      </c>
      <c r="C265" t="s">
        <v>3625</v>
      </c>
      <c r="D265" t="s">
        <v>3626</v>
      </c>
      <c r="E265" t="s">
        <v>3627</v>
      </c>
      <c r="F265" t="s">
        <v>2907</v>
      </c>
      <c r="G265" t="s">
        <v>3628</v>
      </c>
    </row>
    <row r="266" spans="1:7" ht="11.25" customHeight="1">
      <c r="A266" t="s">
        <v>16</v>
      </c>
      <c r="B266" t="s">
        <v>3624</v>
      </c>
      <c r="C266" t="s">
        <v>3625</v>
      </c>
      <c r="D266" t="s">
        <v>3629</v>
      </c>
      <c r="E266" t="s">
        <v>3630</v>
      </c>
      <c r="F266" t="s">
        <v>2907</v>
      </c>
      <c r="G266" t="s">
        <v>3631</v>
      </c>
    </row>
    <row r="267" spans="1:7" ht="11.25" customHeight="1">
      <c r="A267" t="s">
        <v>16</v>
      </c>
      <c r="B267" t="s">
        <v>3624</v>
      </c>
      <c r="C267" t="s">
        <v>3625</v>
      </c>
      <c r="D267" t="s">
        <v>3632</v>
      </c>
      <c r="E267" t="s">
        <v>3633</v>
      </c>
      <c r="F267" t="s">
        <v>2907</v>
      </c>
      <c r="G267" t="s">
        <v>3634</v>
      </c>
    </row>
    <row r="268" spans="1:7" ht="11.25" customHeight="1">
      <c r="A268" t="s">
        <v>16</v>
      </c>
      <c r="B268" t="s">
        <v>3624</v>
      </c>
      <c r="C268" t="s">
        <v>3625</v>
      </c>
      <c r="D268" t="s">
        <v>3635</v>
      </c>
      <c r="E268" t="s">
        <v>3636</v>
      </c>
      <c r="F268" t="s">
        <v>2907</v>
      </c>
      <c r="G268" t="s">
        <v>3637</v>
      </c>
    </row>
    <row r="269" spans="1:7" ht="11.25" customHeight="1">
      <c r="A269" t="s">
        <v>16</v>
      </c>
      <c r="B269" t="s">
        <v>3624</v>
      </c>
      <c r="C269" t="s">
        <v>3625</v>
      </c>
      <c r="D269" t="s">
        <v>3638</v>
      </c>
      <c r="E269" t="s">
        <v>3639</v>
      </c>
      <c r="F269" t="s">
        <v>2907</v>
      </c>
      <c r="G269" t="s">
        <v>3640</v>
      </c>
    </row>
    <row r="270" spans="1:7" ht="11.25" customHeight="1">
      <c r="A270" t="s">
        <v>16</v>
      </c>
      <c r="B270" t="s">
        <v>3624</v>
      </c>
      <c r="C270" t="s">
        <v>3625</v>
      </c>
      <c r="D270" t="s">
        <v>3641</v>
      </c>
      <c r="E270" t="s">
        <v>3642</v>
      </c>
      <c r="F270" t="s">
        <v>2907</v>
      </c>
      <c r="G270" t="s">
        <v>3643</v>
      </c>
    </row>
    <row r="271" spans="1:7" ht="11.25" customHeight="1">
      <c r="A271" t="s">
        <v>16</v>
      </c>
      <c r="B271" t="s">
        <v>3624</v>
      </c>
      <c r="C271" t="s">
        <v>3625</v>
      </c>
      <c r="D271" t="s">
        <v>3644</v>
      </c>
      <c r="E271" t="s">
        <v>3645</v>
      </c>
      <c r="F271" t="s">
        <v>2907</v>
      </c>
      <c r="G271" t="s">
        <v>3646</v>
      </c>
    </row>
    <row r="272" spans="1:7" ht="11.25" customHeight="1">
      <c r="A272" t="s">
        <v>16</v>
      </c>
      <c r="B272" t="s">
        <v>3624</v>
      </c>
      <c r="C272" t="s">
        <v>3625</v>
      </c>
      <c r="D272" t="s">
        <v>3647</v>
      </c>
      <c r="E272" t="s">
        <v>3648</v>
      </c>
      <c r="F272" t="s">
        <v>2907</v>
      </c>
      <c r="G272" t="s">
        <v>3649</v>
      </c>
    </row>
    <row r="273" spans="1:7" ht="11.25" customHeight="1">
      <c r="A273" t="s">
        <v>16</v>
      </c>
      <c r="B273" t="s">
        <v>3624</v>
      </c>
      <c r="C273" t="s">
        <v>3625</v>
      </c>
      <c r="D273" t="s">
        <v>3650</v>
      </c>
      <c r="E273" t="s">
        <v>3651</v>
      </c>
      <c r="F273" t="s">
        <v>2907</v>
      </c>
      <c r="G273" t="s">
        <v>3652</v>
      </c>
    </row>
    <row r="274" spans="1:7" ht="11.25" customHeight="1">
      <c r="A274" t="s">
        <v>16</v>
      </c>
      <c r="B274" t="s">
        <v>3624</v>
      </c>
      <c r="C274" t="s">
        <v>3625</v>
      </c>
      <c r="D274" t="s">
        <v>3653</v>
      </c>
      <c r="E274" t="s">
        <v>3654</v>
      </c>
      <c r="F274" t="s">
        <v>2907</v>
      </c>
      <c r="G274" t="s">
        <v>3655</v>
      </c>
    </row>
    <row r="275" spans="1:7" ht="11.25" customHeight="1">
      <c r="A275" t="s">
        <v>16</v>
      </c>
      <c r="B275" t="s">
        <v>3624</v>
      </c>
      <c r="C275" t="s">
        <v>3625</v>
      </c>
      <c r="D275" t="s">
        <v>3656</v>
      </c>
      <c r="E275" t="s">
        <v>3657</v>
      </c>
      <c r="F275" t="s">
        <v>2907</v>
      </c>
      <c r="G275" t="s">
        <v>3658</v>
      </c>
    </row>
    <row r="276" spans="1:7" ht="11.25" customHeight="1">
      <c r="A276" t="s">
        <v>16</v>
      </c>
      <c r="B276" t="s">
        <v>3624</v>
      </c>
      <c r="C276" t="s">
        <v>3625</v>
      </c>
      <c r="D276" t="s">
        <v>3659</v>
      </c>
      <c r="E276" t="s">
        <v>3660</v>
      </c>
      <c r="F276" t="s">
        <v>2907</v>
      </c>
      <c r="G276" t="s">
        <v>3661</v>
      </c>
    </row>
    <row r="277" spans="1:7" ht="11.25" customHeight="1">
      <c r="A277" t="s">
        <v>16</v>
      </c>
      <c r="B277" t="s">
        <v>3624</v>
      </c>
      <c r="C277" t="s">
        <v>3625</v>
      </c>
      <c r="D277" t="s">
        <v>3662</v>
      </c>
      <c r="E277" t="s">
        <v>3663</v>
      </c>
      <c r="F277" t="s">
        <v>2907</v>
      </c>
      <c r="G277" t="s">
        <v>3664</v>
      </c>
    </row>
    <row r="278" spans="1:7" ht="11.25" customHeight="1">
      <c r="A278" t="s">
        <v>16</v>
      </c>
      <c r="B278" t="s">
        <v>3624</v>
      </c>
      <c r="C278" t="s">
        <v>3625</v>
      </c>
      <c r="D278" t="s">
        <v>3665</v>
      </c>
      <c r="E278" t="s">
        <v>3666</v>
      </c>
      <c r="F278" t="s">
        <v>2907</v>
      </c>
      <c r="G278" t="s">
        <v>3667</v>
      </c>
    </row>
    <row r="279" spans="1:7" ht="11.25" customHeight="1">
      <c r="A279" t="s">
        <v>16</v>
      </c>
      <c r="B279" t="s">
        <v>3624</v>
      </c>
      <c r="C279" t="s">
        <v>3625</v>
      </c>
      <c r="D279" t="s">
        <v>3668</v>
      </c>
      <c r="E279" t="s">
        <v>3669</v>
      </c>
      <c r="F279" t="s">
        <v>2907</v>
      </c>
      <c r="G279" t="s">
        <v>3670</v>
      </c>
    </row>
    <row r="280" spans="1:7" ht="11.25" customHeight="1">
      <c r="A280" t="s">
        <v>16</v>
      </c>
      <c r="B280" t="s">
        <v>3624</v>
      </c>
      <c r="C280" t="s">
        <v>3625</v>
      </c>
      <c r="D280" t="s">
        <v>3624</v>
      </c>
      <c r="E280" t="s">
        <v>3625</v>
      </c>
      <c r="F280" t="s">
        <v>2908</v>
      </c>
      <c r="G280" t="s">
        <v>3671</v>
      </c>
    </row>
    <row r="281" spans="1:7" ht="11.25" customHeight="1">
      <c r="A281" t="s">
        <v>16</v>
      </c>
      <c r="B281" t="s">
        <v>3624</v>
      </c>
      <c r="C281" t="s">
        <v>3625</v>
      </c>
      <c r="D281" t="s">
        <v>3672</v>
      </c>
      <c r="E281" t="s">
        <v>3673</v>
      </c>
      <c r="F281" t="s">
        <v>2907</v>
      </c>
      <c r="G281" t="s">
        <v>3674</v>
      </c>
    </row>
    <row r="282" spans="1:7" ht="11.25" customHeight="1">
      <c r="A282" t="s">
        <v>16</v>
      </c>
      <c r="B282" t="s">
        <v>3624</v>
      </c>
      <c r="C282" t="s">
        <v>3625</v>
      </c>
      <c r="D282" t="s">
        <v>3675</v>
      </c>
      <c r="E282" t="s">
        <v>3676</v>
      </c>
      <c r="F282" t="s">
        <v>3032</v>
      </c>
      <c r="G282" t="s">
        <v>3677</v>
      </c>
    </row>
    <row r="283" spans="1:7" ht="11.25" customHeight="1">
      <c r="A283" t="s">
        <v>16</v>
      </c>
      <c r="B283" t="s">
        <v>3678</v>
      </c>
      <c r="C283" t="s">
        <v>3679</v>
      </c>
      <c r="D283" t="s">
        <v>3680</v>
      </c>
      <c r="E283" t="s">
        <v>3681</v>
      </c>
      <c r="F283" t="s">
        <v>2907</v>
      </c>
      <c r="G283" t="s">
        <v>3682</v>
      </c>
    </row>
    <row r="284" spans="1:7" ht="11.25" customHeight="1">
      <c r="A284" t="s">
        <v>16</v>
      </c>
      <c r="B284" t="s">
        <v>3678</v>
      </c>
      <c r="C284" t="s">
        <v>3679</v>
      </c>
      <c r="D284" t="s">
        <v>3683</v>
      </c>
      <c r="E284" t="s">
        <v>3684</v>
      </c>
      <c r="F284" t="s">
        <v>2907</v>
      </c>
      <c r="G284" t="s">
        <v>3685</v>
      </c>
    </row>
    <row r="285" spans="1:7" ht="11.25" customHeight="1">
      <c r="A285" t="s">
        <v>16</v>
      </c>
      <c r="B285" t="s">
        <v>3678</v>
      </c>
      <c r="C285" t="s">
        <v>3679</v>
      </c>
      <c r="D285" t="s">
        <v>3686</v>
      </c>
      <c r="E285" t="s">
        <v>3687</v>
      </c>
      <c r="F285" t="s">
        <v>2907</v>
      </c>
      <c r="G285" t="s">
        <v>3688</v>
      </c>
    </row>
    <row r="286" spans="1:7" ht="11.25" customHeight="1">
      <c r="A286" t="s">
        <v>16</v>
      </c>
      <c r="B286" t="s">
        <v>3678</v>
      </c>
      <c r="C286" t="s">
        <v>3679</v>
      </c>
      <c r="D286" t="s">
        <v>3136</v>
      </c>
      <c r="E286" t="s">
        <v>3689</v>
      </c>
      <c r="F286" t="s">
        <v>2907</v>
      </c>
      <c r="G286" t="s">
        <v>3690</v>
      </c>
    </row>
    <row r="287" spans="1:7" ht="11.25" customHeight="1">
      <c r="A287" t="s">
        <v>16</v>
      </c>
      <c r="B287" t="s">
        <v>3678</v>
      </c>
      <c r="C287" t="s">
        <v>3679</v>
      </c>
      <c r="D287" t="s">
        <v>3691</v>
      </c>
      <c r="E287" t="s">
        <v>3692</v>
      </c>
      <c r="F287" t="s">
        <v>2907</v>
      </c>
      <c r="G287" t="s">
        <v>3693</v>
      </c>
    </row>
    <row r="288" spans="1:7" ht="11.25" customHeight="1">
      <c r="A288" t="s">
        <v>16</v>
      </c>
      <c r="B288" t="s">
        <v>3678</v>
      </c>
      <c r="C288" t="s">
        <v>3679</v>
      </c>
      <c r="D288" t="s">
        <v>3694</v>
      </c>
      <c r="E288" t="s">
        <v>3695</v>
      </c>
      <c r="F288" t="s">
        <v>2907</v>
      </c>
      <c r="G288" t="s">
        <v>3696</v>
      </c>
    </row>
    <row r="289" spans="1:7" ht="11.25" customHeight="1">
      <c r="A289" t="s">
        <v>16</v>
      </c>
      <c r="B289" t="s">
        <v>3678</v>
      </c>
      <c r="C289" t="s">
        <v>3679</v>
      </c>
      <c r="D289" t="s">
        <v>3678</v>
      </c>
      <c r="E289" t="s">
        <v>3679</v>
      </c>
      <c r="F289" t="s">
        <v>2908</v>
      </c>
      <c r="G289" t="s">
        <v>3697</v>
      </c>
    </row>
    <row r="290" spans="1:7" ht="11.25" customHeight="1">
      <c r="A290" t="s">
        <v>16</v>
      </c>
      <c r="B290" t="s">
        <v>3678</v>
      </c>
      <c r="C290" t="s">
        <v>3679</v>
      </c>
      <c r="D290" t="s">
        <v>3698</v>
      </c>
      <c r="E290" t="s">
        <v>3699</v>
      </c>
      <c r="F290" t="s">
        <v>2907</v>
      </c>
      <c r="G290" t="s">
        <v>3700</v>
      </c>
    </row>
    <row r="291" spans="1:7" ht="11.25" customHeight="1">
      <c r="A291" t="s">
        <v>16</v>
      </c>
      <c r="B291" t="s">
        <v>3678</v>
      </c>
      <c r="C291" t="s">
        <v>3679</v>
      </c>
      <c r="D291" t="s">
        <v>3145</v>
      </c>
      <c r="E291" t="s">
        <v>3701</v>
      </c>
      <c r="F291" t="s">
        <v>2907</v>
      </c>
      <c r="G291" t="s">
        <v>3702</v>
      </c>
    </row>
    <row r="292" spans="1:7" ht="11.25" customHeight="1">
      <c r="A292" t="s">
        <v>16</v>
      </c>
      <c r="B292" t="s">
        <v>3678</v>
      </c>
      <c r="C292" t="s">
        <v>3679</v>
      </c>
      <c r="D292" t="s">
        <v>3703</v>
      </c>
      <c r="E292" t="s">
        <v>3704</v>
      </c>
      <c r="F292" t="s">
        <v>2977</v>
      </c>
      <c r="G292" t="s">
        <v>3705</v>
      </c>
    </row>
    <row r="293" spans="1:7" ht="11.25" customHeight="1">
      <c r="A293" t="s">
        <v>16</v>
      </c>
      <c r="B293" t="s">
        <v>3706</v>
      </c>
      <c r="C293" t="s">
        <v>3707</v>
      </c>
      <c r="D293" t="s">
        <v>3708</v>
      </c>
      <c r="E293" t="s">
        <v>3709</v>
      </c>
      <c r="F293" t="s">
        <v>2907</v>
      </c>
      <c r="G293" t="s">
        <v>3710</v>
      </c>
    </row>
    <row r="294" spans="1:7" ht="11.25" customHeight="1">
      <c r="A294" t="s">
        <v>16</v>
      </c>
      <c r="B294" t="s">
        <v>3706</v>
      </c>
      <c r="C294" t="s">
        <v>3707</v>
      </c>
      <c r="D294" t="s">
        <v>3711</v>
      </c>
      <c r="E294" t="s">
        <v>3712</v>
      </c>
      <c r="F294" t="s">
        <v>2907</v>
      </c>
      <c r="G294" t="s">
        <v>3713</v>
      </c>
    </row>
    <row r="295" spans="1:7" ht="11.25" customHeight="1">
      <c r="A295" t="s">
        <v>16</v>
      </c>
      <c r="B295" t="s">
        <v>3706</v>
      </c>
      <c r="C295" t="s">
        <v>3707</v>
      </c>
      <c r="D295" t="s">
        <v>3714</v>
      </c>
      <c r="E295" t="s">
        <v>3715</v>
      </c>
      <c r="F295" t="s">
        <v>2907</v>
      </c>
      <c r="G295" t="s">
        <v>3716</v>
      </c>
    </row>
    <row r="296" spans="1:7" ht="11.25" customHeight="1">
      <c r="A296" t="s">
        <v>16</v>
      </c>
      <c r="B296" t="s">
        <v>3706</v>
      </c>
      <c r="C296" t="s">
        <v>3707</v>
      </c>
      <c r="D296" t="s">
        <v>3717</v>
      </c>
      <c r="E296" t="s">
        <v>3718</v>
      </c>
      <c r="F296" t="s">
        <v>2907</v>
      </c>
      <c r="G296" t="s">
        <v>3719</v>
      </c>
    </row>
    <row r="297" spans="1:7" ht="11.25" customHeight="1">
      <c r="A297" t="s">
        <v>16</v>
      </c>
      <c r="B297" t="s">
        <v>3706</v>
      </c>
      <c r="C297" t="s">
        <v>3707</v>
      </c>
      <c r="D297" t="s">
        <v>3720</v>
      </c>
      <c r="E297" t="s">
        <v>3721</v>
      </c>
      <c r="F297" t="s">
        <v>2907</v>
      </c>
      <c r="G297" t="s">
        <v>3722</v>
      </c>
    </row>
    <row r="298" spans="1:7" ht="11.25" customHeight="1">
      <c r="A298" t="s">
        <v>16</v>
      </c>
      <c r="B298" t="s">
        <v>3706</v>
      </c>
      <c r="C298" t="s">
        <v>3707</v>
      </c>
      <c r="D298" t="s">
        <v>3723</v>
      </c>
      <c r="E298" t="s">
        <v>3724</v>
      </c>
      <c r="F298" t="s">
        <v>2907</v>
      </c>
      <c r="G298" t="s">
        <v>3725</v>
      </c>
    </row>
    <row r="299" spans="1:7" ht="11.25" customHeight="1">
      <c r="A299" t="s">
        <v>16</v>
      </c>
      <c r="B299" t="s">
        <v>3706</v>
      </c>
      <c r="C299" t="s">
        <v>3707</v>
      </c>
      <c r="D299" t="s">
        <v>3726</v>
      </c>
      <c r="E299" t="s">
        <v>3727</v>
      </c>
      <c r="F299" t="s">
        <v>2907</v>
      </c>
      <c r="G299" t="s">
        <v>3728</v>
      </c>
    </row>
    <row r="300" spans="1:7" ht="11.25" customHeight="1">
      <c r="A300" t="s">
        <v>16</v>
      </c>
      <c r="B300" t="s">
        <v>3706</v>
      </c>
      <c r="C300" t="s">
        <v>3707</v>
      </c>
      <c r="D300" t="s">
        <v>3729</v>
      </c>
      <c r="E300" t="s">
        <v>3730</v>
      </c>
      <c r="F300" t="s">
        <v>2907</v>
      </c>
      <c r="G300" t="s">
        <v>3731</v>
      </c>
    </row>
    <row r="301" spans="1:7" ht="11.25" customHeight="1">
      <c r="A301" t="s">
        <v>16</v>
      </c>
      <c r="B301" t="s">
        <v>3706</v>
      </c>
      <c r="C301" t="s">
        <v>3707</v>
      </c>
      <c r="D301" t="s">
        <v>3732</v>
      </c>
      <c r="E301" t="s">
        <v>3733</v>
      </c>
      <c r="F301" t="s">
        <v>2907</v>
      </c>
      <c r="G301" t="s">
        <v>3734</v>
      </c>
    </row>
    <row r="302" spans="1:7" ht="11.25" customHeight="1">
      <c r="A302" t="s">
        <v>16</v>
      </c>
      <c r="B302" t="s">
        <v>3706</v>
      </c>
      <c r="C302" t="s">
        <v>3707</v>
      </c>
      <c r="D302" t="s">
        <v>2998</v>
      </c>
      <c r="E302" t="s">
        <v>3735</v>
      </c>
      <c r="F302" t="s">
        <v>2907</v>
      </c>
      <c r="G302" t="s">
        <v>3736</v>
      </c>
    </row>
    <row r="303" spans="1:7" ht="11.25" customHeight="1">
      <c r="A303" t="s">
        <v>16</v>
      </c>
      <c r="B303" t="s">
        <v>3706</v>
      </c>
      <c r="C303" t="s">
        <v>3707</v>
      </c>
      <c r="D303" t="s">
        <v>3706</v>
      </c>
      <c r="E303" t="s">
        <v>3707</v>
      </c>
      <c r="F303" t="s">
        <v>2908</v>
      </c>
      <c r="G303" t="s">
        <v>3737</v>
      </c>
    </row>
    <row r="304" spans="1:7" ht="11.25" customHeight="1">
      <c r="A304" t="s">
        <v>16</v>
      </c>
      <c r="B304" t="s">
        <v>3706</v>
      </c>
      <c r="C304" t="s">
        <v>3707</v>
      </c>
      <c r="D304" t="s">
        <v>3738</v>
      </c>
      <c r="E304" t="s">
        <v>3739</v>
      </c>
      <c r="F304" t="s">
        <v>3032</v>
      </c>
      <c r="G304" t="s">
        <v>3740</v>
      </c>
    </row>
    <row r="305" spans="1:7" ht="11.25" customHeight="1">
      <c r="A305" t="s">
        <v>16</v>
      </c>
      <c r="B305" t="s">
        <v>3741</v>
      </c>
      <c r="C305" t="s">
        <v>3742</v>
      </c>
      <c r="D305" t="s">
        <v>3743</v>
      </c>
      <c r="E305" t="s">
        <v>3744</v>
      </c>
      <c r="F305" t="s">
        <v>2907</v>
      </c>
      <c r="G305" t="s">
        <v>3745</v>
      </c>
    </row>
    <row r="306" spans="1:7" ht="11.25" customHeight="1">
      <c r="A306" t="s">
        <v>16</v>
      </c>
      <c r="B306" t="s">
        <v>3741</v>
      </c>
      <c r="C306" t="s">
        <v>3742</v>
      </c>
      <c r="D306" t="s">
        <v>3746</v>
      </c>
      <c r="E306" t="s">
        <v>3747</v>
      </c>
      <c r="F306" t="s">
        <v>2907</v>
      </c>
      <c r="G306" t="s">
        <v>3748</v>
      </c>
    </row>
    <row r="307" spans="1:7" ht="11.25" customHeight="1">
      <c r="A307" t="s">
        <v>16</v>
      </c>
      <c r="B307" t="s">
        <v>3741</v>
      </c>
      <c r="C307" t="s">
        <v>3742</v>
      </c>
      <c r="D307" t="s">
        <v>3749</v>
      </c>
      <c r="E307" t="s">
        <v>3750</v>
      </c>
      <c r="F307" t="s">
        <v>2907</v>
      </c>
      <c r="G307" t="s">
        <v>3751</v>
      </c>
    </row>
    <row r="308" spans="1:7" ht="11.25" customHeight="1">
      <c r="A308" t="s">
        <v>16</v>
      </c>
      <c r="B308" t="s">
        <v>3741</v>
      </c>
      <c r="C308" t="s">
        <v>3742</v>
      </c>
      <c r="D308" t="s">
        <v>3752</v>
      </c>
      <c r="E308" t="s">
        <v>3753</v>
      </c>
      <c r="F308" t="s">
        <v>2907</v>
      </c>
      <c r="G308" t="s">
        <v>3754</v>
      </c>
    </row>
    <row r="309" spans="1:7" ht="11.25" customHeight="1">
      <c r="A309" t="s">
        <v>16</v>
      </c>
      <c r="B309" t="s">
        <v>3741</v>
      </c>
      <c r="C309" t="s">
        <v>3742</v>
      </c>
      <c r="D309" t="s">
        <v>3755</v>
      </c>
      <c r="E309" t="s">
        <v>3756</v>
      </c>
      <c r="F309" t="s">
        <v>2907</v>
      </c>
      <c r="G309" t="s">
        <v>3757</v>
      </c>
    </row>
    <row r="310" spans="1:7" ht="11.25" customHeight="1">
      <c r="A310" t="s">
        <v>16</v>
      </c>
      <c r="B310" t="s">
        <v>3741</v>
      </c>
      <c r="C310" t="s">
        <v>3742</v>
      </c>
      <c r="D310" t="s">
        <v>3758</v>
      </c>
      <c r="E310" t="s">
        <v>3759</v>
      </c>
      <c r="F310" t="s">
        <v>2907</v>
      </c>
      <c r="G310" t="s">
        <v>3760</v>
      </c>
    </row>
    <row r="311" spans="1:7" ht="11.25" customHeight="1">
      <c r="A311" t="s">
        <v>16</v>
      </c>
      <c r="B311" t="s">
        <v>3741</v>
      </c>
      <c r="C311" t="s">
        <v>3742</v>
      </c>
      <c r="D311" t="s">
        <v>3761</v>
      </c>
      <c r="E311" t="s">
        <v>3762</v>
      </c>
      <c r="F311" t="s">
        <v>2907</v>
      </c>
      <c r="G311" t="s">
        <v>3763</v>
      </c>
    </row>
    <row r="312" spans="1:7" ht="11.25" customHeight="1">
      <c r="A312" t="s">
        <v>16</v>
      </c>
      <c r="B312" t="s">
        <v>3741</v>
      </c>
      <c r="C312" t="s">
        <v>3742</v>
      </c>
      <c r="D312" t="s">
        <v>3764</v>
      </c>
      <c r="E312" t="s">
        <v>3765</v>
      </c>
      <c r="F312" t="s">
        <v>2907</v>
      </c>
      <c r="G312" t="s">
        <v>3766</v>
      </c>
    </row>
    <row r="313" spans="1:7" ht="11.25" customHeight="1">
      <c r="A313" t="s">
        <v>16</v>
      </c>
      <c r="B313" t="s">
        <v>3741</v>
      </c>
      <c r="C313" t="s">
        <v>3742</v>
      </c>
      <c r="D313" t="s">
        <v>3741</v>
      </c>
      <c r="E313" t="s">
        <v>3742</v>
      </c>
      <c r="F313" t="s">
        <v>2908</v>
      </c>
      <c r="G313" t="s">
        <v>3767</v>
      </c>
    </row>
    <row r="314" spans="1:7" ht="11.25" customHeight="1">
      <c r="A314" t="s">
        <v>16</v>
      </c>
      <c r="B314" t="s">
        <v>3741</v>
      </c>
      <c r="C314" t="s">
        <v>3742</v>
      </c>
      <c r="D314" t="s">
        <v>3768</v>
      </c>
      <c r="E314" t="s">
        <v>3769</v>
      </c>
      <c r="F314" t="s">
        <v>2977</v>
      </c>
      <c r="G314" t="s">
        <v>3770</v>
      </c>
    </row>
    <row r="315" spans="1:7" ht="11.25" customHeight="1">
      <c r="A315" t="s">
        <v>16</v>
      </c>
      <c r="B315" t="s">
        <v>3771</v>
      </c>
      <c r="C315" t="s">
        <v>3772</v>
      </c>
      <c r="D315" t="s">
        <v>3773</v>
      </c>
      <c r="E315" t="s">
        <v>3774</v>
      </c>
      <c r="F315" t="s">
        <v>2907</v>
      </c>
      <c r="G315" t="s">
        <v>3775</v>
      </c>
    </row>
    <row r="316" spans="1:7" ht="11.25" customHeight="1">
      <c r="A316" t="s">
        <v>16</v>
      </c>
      <c r="B316" t="s">
        <v>3771</v>
      </c>
      <c r="C316" t="s">
        <v>3772</v>
      </c>
      <c r="D316" t="s">
        <v>3053</v>
      </c>
      <c r="E316" t="s">
        <v>3776</v>
      </c>
      <c r="F316" t="s">
        <v>2907</v>
      </c>
      <c r="G316" t="s">
        <v>3777</v>
      </c>
    </row>
    <row r="317" spans="1:7" ht="11.25" customHeight="1">
      <c r="A317" t="s">
        <v>16</v>
      </c>
      <c r="B317" t="s">
        <v>3771</v>
      </c>
      <c r="C317" t="s">
        <v>3772</v>
      </c>
      <c r="D317" t="s">
        <v>3778</v>
      </c>
      <c r="E317" t="s">
        <v>3779</v>
      </c>
      <c r="F317" t="s">
        <v>2907</v>
      </c>
      <c r="G317" t="s">
        <v>3780</v>
      </c>
    </row>
    <row r="318" spans="1:7" ht="11.25" customHeight="1">
      <c r="A318" t="s">
        <v>16</v>
      </c>
      <c r="B318" t="s">
        <v>3771</v>
      </c>
      <c r="C318" t="s">
        <v>3772</v>
      </c>
      <c r="D318" t="s">
        <v>3755</v>
      </c>
      <c r="E318" t="s">
        <v>3781</v>
      </c>
      <c r="F318" t="s">
        <v>2907</v>
      </c>
      <c r="G318" t="s">
        <v>3782</v>
      </c>
    </row>
    <row r="319" spans="1:7" ht="11.25" customHeight="1">
      <c r="A319" t="s">
        <v>16</v>
      </c>
      <c r="B319" t="s">
        <v>3771</v>
      </c>
      <c r="C319" t="s">
        <v>3772</v>
      </c>
      <c r="D319" t="s">
        <v>3783</v>
      </c>
      <c r="E319" t="s">
        <v>3784</v>
      </c>
      <c r="F319" t="s">
        <v>2907</v>
      </c>
      <c r="G319" t="s">
        <v>3785</v>
      </c>
    </row>
    <row r="320" spans="1:7" ht="11.25" customHeight="1">
      <c r="A320" t="s">
        <v>16</v>
      </c>
      <c r="B320" t="s">
        <v>3771</v>
      </c>
      <c r="C320" t="s">
        <v>3772</v>
      </c>
      <c r="D320" t="s">
        <v>3732</v>
      </c>
      <c r="E320" t="s">
        <v>3786</v>
      </c>
      <c r="F320" t="s">
        <v>2907</v>
      </c>
      <c r="G320" t="s">
        <v>3787</v>
      </c>
    </row>
    <row r="321" spans="1:7" ht="11.25" customHeight="1">
      <c r="A321" t="s">
        <v>16</v>
      </c>
      <c r="B321" t="s">
        <v>3771</v>
      </c>
      <c r="C321" t="s">
        <v>3772</v>
      </c>
      <c r="D321" t="s">
        <v>3788</v>
      </c>
      <c r="E321" t="s">
        <v>3789</v>
      </c>
      <c r="F321" t="s">
        <v>2907</v>
      </c>
      <c r="G321" t="s">
        <v>3790</v>
      </c>
    </row>
    <row r="322" spans="1:7" ht="11.25" customHeight="1">
      <c r="A322" t="s">
        <v>16</v>
      </c>
      <c r="B322" t="s">
        <v>3771</v>
      </c>
      <c r="C322" t="s">
        <v>3772</v>
      </c>
      <c r="D322" t="s">
        <v>3791</v>
      </c>
      <c r="E322" t="s">
        <v>3792</v>
      </c>
      <c r="F322" t="s">
        <v>2907</v>
      </c>
      <c r="G322" t="s">
        <v>3793</v>
      </c>
    </row>
    <row r="323" spans="1:7" ht="11.25" customHeight="1">
      <c r="A323" t="s">
        <v>16</v>
      </c>
      <c r="B323" t="s">
        <v>3771</v>
      </c>
      <c r="C323" t="s">
        <v>3772</v>
      </c>
      <c r="D323" t="s">
        <v>3771</v>
      </c>
      <c r="E323" t="s">
        <v>3772</v>
      </c>
      <c r="F323" t="s">
        <v>2908</v>
      </c>
      <c r="G323" t="s">
        <v>3794</v>
      </c>
    </row>
    <row r="324" spans="1:7" ht="11.25" customHeight="1">
      <c r="A324" t="s">
        <v>16</v>
      </c>
      <c r="B324" t="s">
        <v>3771</v>
      </c>
      <c r="C324" t="s">
        <v>3772</v>
      </c>
      <c r="D324" t="s">
        <v>3795</v>
      </c>
      <c r="E324" t="s">
        <v>3796</v>
      </c>
      <c r="F324" t="s">
        <v>2977</v>
      </c>
      <c r="G324" t="s">
        <v>3797</v>
      </c>
    </row>
    <row r="325" spans="1:7" ht="11.25" customHeight="1">
      <c r="A325" t="s">
        <v>16</v>
      </c>
      <c r="B325" t="s">
        <v>3798</v>
      </c>
      <c r="C325" t="s">
        <v>3799</v>
      </c>
      <c r="D325" t="s">
        <v>3800</v>
      </c>
      <c r="E325" t="s">
        <v>3801</v>
      </c>
      <c r="F325" t="s">
        <v>2907</v>
      </c>
      <c r="G325" t="s">
        <v>3802</v>
      </c>
    </row>
    <row r="326" spans="1:7" ht="11.25" customHeight="1">
      <c r="A326" t="s">
        <v>16</v>
      </c>
      <c r="B326" t="s">
        <v>3798</v>
      </c>
      <c r="C326" t="s">
        <v>3799</v>
      </c>
      <c r="D326" t="s">
        <v>2913</v>
      </c>
      <c r="E326" t="s">
        <v>3803</v>
      </c>
      <c r="F326" t="s">
        <v>2907</v>
      </c>
      <c r="G326" t="s">
        <v>3804</v>
      </c>
    </row>
    <row r="327" spans="1:7" ht="11.25" customHeight="1">
      <c r="A327" t="s">
        <v>16</v>
      </c>
      <c r="B327" t="s">
        <v>3798</v>
      </c>
      <c r="C327" t="s">
        <v>3799</v>
      </c>
      <c r="D327" t="s">
        <v>3805</v>
      </c>
      <c r="E327" t="s">
        <v>3806</v>
      </c>
      <c r="F327" t="s">
        <v>2907</v>
      </c>
      <c r="G327" t="s">
        <v>3807</v>
      </c>
    </row>
    <row r="328" spans="1:7" ht="11.25" customHeight="1">
      <c r="A328" t="s">
        <v>16</v>
      </c>
      <c r="B328" t="s">
        <v>3798</v>
      </c>
      <c r="C328" t="s">
        <v>3799</v>
      </c>
      <c r="D328" t="s">
        <v>3808</v>
      </c>
      <c r="E328" t="s">
        <v>3809</v>
      </c>
      <c r="F328" t="s">
        <v>2907</v>
      </c>
      <c r="G328" t="s">
        <v>3810</v>
      </c>
    </row>
    <row r="329" spans="1:7" ht="11.25" customHeight="1">
      <c r="A329" t="s">
        <v>16</v>
      </c>
      <c r="B329" t="s">
        <v>3798</v>
      </c>
      <c r="C329" t="s">
        <v>3799</v>
      </c>
      <c r="D329" t="s">
        <v>3811</v>
      </c>
      <c r="E329" t="s">
        <v>3812</v>
      </c>
      <c r="F329" t="s">
        <v>2907</v>
      </c>
      <c r="G329" t="s">
        <v>3813</v>
      </c>
    </row>
    <row r="330" spans="1:7" ht="11.25" customHeight="1">
      <c r="A330" t="s">
        <v>16</v>
      </c>
      <c r="B330" t="s">
        <v>3798</v>
      </c>
      <c r="C330" t="s">
        <v>3799</v>
      </c>
      <c r="D330" t="s">
        <v>2986</v>
      </c>
      <c r="E330" t="s">
        <v>3814</v>
      </c>
      <c r="F330" t="s">
        <v>2907</v>
      </c>
      <c r="G330" t="s">
        <v>3815</v>
      </c>
    </row>
    <row r="331" spans="1:7" ht="11.25" customHeight="1">
      <c r="A331" t="s">
        <v>16</v>
      </c>
      <c r="B331" t="s">
        <v>3798</v>
      </c>
      <c r="C331" t="s">
        <v>3799</v>
      </c>
      <c r="D331" t="s">
        <v>3816</v>
      </c>
      <c r="E331" t="s">
        <v>3817</v>
      </c>
      <c r="F331" t="s">
        <v>2907</v>
      </c>
      <c r="G331" t="s">
        <v>3818</v>
      </c>
    </row>
    <row r="332" spans="1:7" ht="11.25" customHeight="1">
      <c r="A332" t="s">
        <v>16</v>
      </c>
      <c r="B332" t="s">
        <v>3798</v>
      </c>
      <c r="C332" t="s">
        <v>3799</v>
      </c>
      <c r="D332" t="s">
        <v>3819</v>
      </c>
      <c r="E332" t="s">
        <v>3820</v>
      </c>
      <c r="F332" t="s">
        <v>2907</v>
      </c>
      <c r="G332" t="s">
        <v>3821</v>
      </c>
    </row>
    <row r="333" spans="1:7" ht="11.25" customHeight="1">
      <c r="A333" t="s">
        <v>16</v>
      </c>
      <c r="B333" t="s">
        <v>3798</v>
      </c>
      <c r="C333" t="s">
        <v>3799</v>
      </c>
      <c r="D333" t="s">
        <v>3822</v>
      </c>
      <c r="E333" t="s">
        <v>3823</v>
      </c>
      <c r="F333" t="s">
        <v>2907</v>
      </c>
      <c r="G333" t="s">
        <v>3824</v>
      </c>
    </row>
    <row r="334" spans="1:7" ht="11.25" customHeight="1">
      <c r="A334" t="s">
        <v>16</v>
      </c>
      <c r="B334" t="s">
        <v>3798</v>
      </c>
      <c r="C334" t="s">
        <v>3799</v>
      </c>
      <c r="D334" t="s">
        <v>3825</v>
      </c>
      <c r="E334" t="s">
        <v>3826</v>
      </c>
      <c r="F334" t="s">
        <v>2907</v>
      </c>
      <c r="G334" t="s">
        <v>3827</v>
      </c>
    </row>
    <row r="335" spans="1:7" ht="11.25" customHeight="1">
      <c r="A335" t="s">
        <v>16</v>
      </c>
      <c r="B335" t="s">
        <v>3798</v>
      </c>
      <c r="C335" t="s">
        <v>3799</v>
      </c>
      <c r="D335" t="s">
        <v>3828</v>
      </c>
      <c r="E335" t="s">
        <v>3829</v>
      </c>
      <c r="F335" t="s">
        <v>2907</v>
      </c>
      <c r="G335" t="s">
        <v>3830</v>
      </c>
    </row>
    <row r="336" spans="1:7" ht="11.25" customHeight="1">
      <c r="A336" t="s">
        <v>16</v>
      </c>
      <c r="B336" t="s">
        <v>3798</v>
      </c>
      <c r="C336" t="s">
        <v>3799</v>
      </c>
      <c r="D336" t="s">
        <v>2994</v>
      </c>
      <c r="E336" t="s">
        <v>3831</v>
      </c>
      <c r="F336" t="s">
        <v>2907</v>
      </c>
      <c r="G336" t="s">
        <v>3832</v>
      </c>
    </row>
    <row r="337" spans="1:7" ht="11.25" customHeight="1">
      <c r="A337" t="s">
        <v>16</v>
      </c>
      <c r="B337" t="s">
        <v>3798</v>
      </c>
      <c r="C337" t="s">
        <v>3799</v>
      </c>
      <c r="D337" t="s">
        <v>3833</v>
      </c>
      <c r="E337" t="s">
        <v>3834</v>
      </c>
      <c r="F337" t="s">
        <v>2907</v>
      </c>
      <c r="G337" t="s">
        <v>3835</v>
      </c>
    </row>
    <row r="338" spans="1:7" ht="11.25" customHeight="1">
      <c r="A338" t="s">
        <v>16</v>
      </c>
      <c r="B338" t="s">
        <v>3798</v>
      </c>
      <c r="C338" t="s">
        <v>3799</v>
      </c>
      <c r="D338" t="s">
        <v>3836</v>
      </c>
      <c r="E338" t="s">
        <v>3837</v>
      </c>
      <c r="F338" t="s">
        <v>2907</v>
      </c>
      <c r="G338" t="s">
        <v>3838</v>
      </c>
    </row>
    <row r="339" spans="1:7" ht="11.25" customHeight="1">
      <c r="A339" t="s">
        <v>16</v>
      </c>
      <c r="B339" t="s">
        <v>3798</v>
      </c>
      <c r="C339" t="s">
        <v>3799</v>
      </c>
      <c r="D339" t="s">
        <v>3556</v>
      </c>
      <c r="E339" t="s">
        <v>3839</v>
      </c>
      <c r="F339" t="s">
        <v>2907</v>
      </c>
      <c r="G339" t="s">
        <v>3840</v>
      </c>
    </row>
    <row r="340" spans="1:7" ht="11.25" customHeight="1">
      <c r="A340" t="s">
        <v>16</v>
      </c>
      <c r="B340" t="s">
        <v>3798</v>
      </c>
      <c r="C340" t="s">
        <v>3799</v>
      </c>
      <c r="D340" t="s">
        <v>3841</v>
      </c>
      <c r="E340" t="s">
        <v>3842</v>
      </c>
      <c r="F340" t="s">
        <v>2907</v>
      </c>
      <c r="G340" t="s">
        <v>3843</v>
      </c>
    </row>
    <row r="341" spans="1:7" ht="11.25" customHeight="1">
      <c r="A341" t="s">
        <v>16</v>
      </c>
      <c r="B341" t="s">
        <v>3798</v>
      </c>
      <c r="C341" t="s">
        <v>3799</v>
      </c>
      <c r="D341" t="s">
        <v>3844</v>
      </c>
      <c r="E341" t="s">
        <v>3845</v>
      </c>
      <c r="F341" t="s">
        <v>2907</v>
      </c>
      <c r="G341" t="s">
        <v>3846</v>
      </c>
    </row>
    <row r="342" spans="1:7" ht="11.25" customHeight="1">
      <c r="A342" t="s">
        <v>16</v>
      </c>
      <c r="B342" t="s">
        <v>3798</v>
      </c>
      <c r="C342" t="s">
        <v>3799</v>
      </c>
      <c r="D342" t="s">
        <v>3847</v>
      </c>
      <c r="E342" t="s">
        <v>3848</v>
      </c>
      <c r="F342" t="s">
        <v>2907</v>
      </c>
      <c r="G342" t="s">
        <v>3849</v>
      </c>
    </row>
    <row r="343" spans="1:7" ht="11.25" customHeight="1">
      <c r="A343" t="s">
        <v>16</v>
      </c>
      <c r="B343" t="s">
        <v>3798</v>
      </c>
      <c r="C343" t="s">
        <v>3799</v>
      </c>
      <c r="D343" t="s">
        <v>3798</v>
      </c>
      <c r="E343" t="s">
        <v>3799</v>
      </c>
      <c r="F343" t="s">
        <v>2908</v>
      </c>
      <c r="G343" t="s">
        <v>3850</v>
      </c>
    </row>
    <row r="344" spans="1:7" ht="11.25" customHeight="1">
      <c r="A344" t="s">
        <v>16</v>
      </c>
      <c r="B344" t="s">
        <v>3851</v>
      </c>
      <c r="C344" t="s">
        <v>3852</v>
      </c>
      <c r="D344" t="s">
        <v>3851</v>
      </c>
      <c r="E344" t="s">
        <v>3852</v>
      </c>
      <c r="F344" t="s">
        <v>3853</v>
      </c>
      <c r="G344" t="s">
        <v>3854</v>
      </c>
    </row>
    <row r="345" spans="1:7" ht="11.25" customHeight="1">
      <c r="A345" t="s">
        <v>16</v>
      </c>
      <c r="B345" t="s">
        <v>3855</v>
      </c>
      <c r="C345" t="s">
        <v>3856</v>
      </c>
      <c r="D345" t="s">
        <v>3855</v>
      </c>
      <c r="E345" t="s">
        <v>3856</v>
      </c>
      <c r="F345" t="s">
        <v>3853</v>
      </c>
      <c r="G345" t="s">
        <v>3857</v>
      </c>
    </row>
    <row r="346" spans="1:7" ht="11.25" customHeight="1">
      <c r="A346" t="s">
        <v>16</v>
      </c>
      <c r="B346" t="s">
        <v>101</v>
      </c>
      <c r="C346" t="s">
        <v>102</v>
      </c>
      <c r="D346" t="s">
        <v>101</v>
      </c>
      <c r="E346" t="s">
        <v>102</v>
      </c>
      <c r="F346" t="s">
        <v>3853</v>
      </c>
      <c r="G346" t="s">
        <v>100</v>
      </c>
    </row>
    <row r="347" spans="1:7" ht="11.25" customHeight="1">
      <c r="A347" t="s">
        <v>16</v>
      </c>
      <c r="B347" t="s">
        <v>3858</v>
      </c>
      <c r="C347" t="s">
        <v>3859</v>
      </c>
      <c r="D347" t="s">
        <v>3858</v>
      </c>
      <c r="E347" t="s">
        <v>3859</v>
      </c>
      <c r="F347" t="s">
        <v>3853</v>
      </c>
      <c r="G347" t="s">
        <v>3860</v>
      </c>
    </row>
    <row r="348" spans="1:7" ht="11.25" customHeight="1">
      <c r="A348" t="s">
        <v>16</v>
      </c>
      <c r="B348" t="s">
        <v>3861</v>
      </c>
      <c r="C348" t="s">
        <v>3862</v>
      </c>
      <c r="D348" t="s">
        <v>3861</v>
      </c>
      <c r="E348" t="s">
        <v>3862</v>
      </c>
      <c r="F348" t="s">
        <v>3853</v>
      </c>
      <c r="G348" t="s">
        <v>3863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D3FBD-CF7A-E66E-B197-7EE83AF759FE}">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3901</v>
      </c>
      <c r="B1" s="766" t="s">
        <v>3902</v>
      </c>
      <c r="C1" s="766" t="s">
        <v>1181</v>
      </c>
    </row>
    <row r="2" spans="1:3" ht="11.25" customHeight="1">
      <c r="A2" s="766">
        <v>4189678</v>
      </c>
      <c r="B2" s="766" t="s">
        <v>3903</v>
      </c>
      <c r="C2" s="766" t="s">
        <v>3904</v>
      </c>
    </row>
    <row r="3" spans="1:3" ht="11.25" customHeight="1">
      <c r="A3" s="766">
        <v>4190415</v>
      </c>
      <c r="B3" s="766" t="s">
        <v>3905</v>
      </c>
      <c r="C3" s="766" t="s">
        <v>3904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9D5BC-38B3-B70C-DFB3-5554D0A6BFDF}">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3906</v>
      </c>
      <c r="B1" s="101" t="s">
        <v>3907</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DEC29-D3A4-4FA9-3F0A-6565DE4A8475}">
  <sheetPr>
    <tabColor rgb="FFFFCC99"/>
  </sheetPr>
  <dimension ref="A1:B15"/>
  <sheetViews>
    <sheetView workbookViewId="0"/>
  </sheetViews>
  <sheetFormatPr defaultRowHeight="11.25" customHeight="1"/>
  <sheetData>
    <row r="1" spans="1:2" ht="11.25" customHeight="1">
      <c r="A1" t="s">
        <v>3908</v>
      </c>
      <c r="B1" t="b">
        <v>1</v>
      </c>
    </row>
    <row r="2" spans="1:2" ht="11.25" customHeight="1">
      <c r="A2" t="s">
        <v>3909</v>
      </c>
      <c r="B2" t="b">
        <v>0</v>
      </c>
    </row>
    <row r="3" spans="1:2" ht="11.25" customHeight="1">
      <c r="A3" t="s">
        <v>3910</v>
      </c>
      <c r="B3" t="b">
        <v>1</v>
      </c>
    </row>
    <row r="4" spans="1:2" ht="11.25" customHeight="1">
      <c r="A4" t="s">
        <v>3911</v>
      </c>
      <c r="B4" t="b">
        <v>0</v>
      </c>
    </row>
    <row r="5" spans="1:2" ht="11.25" customHeight="1">
      <c r="A5" t="s">
        <v>3912</v>
      </c>
      <c r="B5" t="b">
        <v>0</v>
      </c>
    </row>
    <row r="6" spans="1:2" ht="11.25" customHeight="1">
      <c r="A6" t="s">
        <v>3913</v>
      </c>
      <c r="B6" t="b">
        <v>0</v>
      </c>
    </row>
    <row r="7" spans="1:2" ht="11.25" customHeight="1">
      <c r="A7" t="s">
        <v>3914</v>
      </c>
      <c r="B7" t="b">
        <v>0</v>
      </c>
    </row>
    <row r="8" spans="1:2" ht="11.25" customHeight="1">
      <c r="A8" t="s">
        <v>3915</v>
      </c>
      <c r="B8" t="b">
        <v>0</v>
      </c>
    </row>
    <row r="9" spans="1:2" ht="11.25" customHeight="1">
      <c r="A9" t="s">
        <v>3916</v>
      </c>
      <c r="B9" t="b">
        <v>0</v>
      </c>
    </row>
    <row r="10" spans="1:2" ht="11.25" customHeight="1">
      <c r="A10" t="s">
        <v>3917</v>
      </c>
      <c r="B10" t="b">
        <v>0</v>
      </c>
    </row>
    <row r="11" spans="1:2" ht="11.25" customHeight="1">
      <c r="A11" t="s">
        <v>3918</v>
      </c>
      <c r="B11" t="b">
        <v>0</v>
      </c>
    </row>
    <row r="12" spans="1:2" ht="11.25" customHeight="1">
      <c r="A12" t="s">
        <v>3919</v>
      </c>
      <c r="B12" t="b">
        <v>0</v>
      </c>
    </row>
    <row r="13" spans="1:2" ht="11.25" customHeight="1">
      <c r="A13" t="s">
        <v>3920</v>
      </c>
      <c r="B13" t="b">
        <v>0</v>
      </c>
    </row>
    <row r="14" spans="1:2" ht="11.25" customHeight="1">
      <c r="A14" t="s">
        <v>3921</v>
      </c>
      <c r="B14" t="b">
        <v>1</v>
      </c>
    </row>
    <row r="15" spans="1:2" ht="11.25" customHeight="1">
      <c r="A15" t="s">
        <v>3922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CD05F-904E-8CA5-01F9-DB27B71D7E95}">
  <sheetPr>
    <tabColor rgb="FFFFCC99"/>
  </sheetPr>
  <dimension ref="A1"/>
  <sheetViews>
    <sheetView showGridLines="0" workbookViewId="0"/>
  </sheetViews>
  <sheetFormatPr defaultColWidth="9.140625" defaultRowHeight="12.75" customHeight="1"/>
  <cols>
    <col min="1" max="1" width="9.140625" style="2272"/>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DB66C-719C-F0D3-F729-8395577C98B9}">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3923</v>
      </c>
      <c r="B1" s="7" t="s">
        <v>3924</v>
      </c>
    </row>
    <row r="2" spans="1:2" ht="11.25" customHeight="1">
      <c r="A2" s="4" t="s">
        <v>3925</v>
      </c>
      <c r="B2" s="4" t="s">
        <v>3926</v>
      </c>
    </row>
    <row r="3" spans="1:2" ht="11.25" customHeight="1">
      <c r="A3" s="4" t="s">
        <v>3927</v>
      </c>
      <c r="B3" s="4" t="s">
        <v>3928</v>
      </c>
    </row>
    <row r="4" spans="1:2" ht="11.25" customHeight="1">
      <c r="A4" s="4" t="s">
        <v>3929</v>
      </c>
      <c r="B4" s="4" t="s">
        <v>3930</v>
      </c>
    </row>
    <row r="5" spans="1:2" ht="11.25" customHeight="1">
      <c r="A5" s="4" t="s">
        <v>3931</v>
      </c>
      <c r="B5" s="4" t="s">
        <v>3932</v>
      </c>
    </row>
    <row r="6" spans="1:2" ht="11.25" customHeight="1">
      <c r="A6" s="4" t="s">
        <v>3933</v>
      </c>
      <c r="B6" s="4" t="s">
        <v>3934</v>
      </c>
    </row>
    <row r="7" spans="1:2" ht="11.25" customHeight="1">
      <c r="A7" s="4" t="s">
        <v>3935</v>
      </c>
      <c r="B7" s="4" t="s">
        <v>3936</v>
      </c>
    </row>
    <row r="8" spans="1:2" ht="11.25" customHeight="1">
      <c r="A8" s="4" t="s">
        <v>3937</v>
      </c>
      <c r="B8" s="4" t="s">
        <v>3938</v>
      </c>
    </row>
    <row r="9" spans="1:2" ht="11.25" customHeight="1">
      <c r="A9" s="4" t="s">
        <v>3939</v>
      </c>
      <c r="B9" s="4" t="s">
        <v>3940</v>
      </c>
    </row>
    <row r="10" spans="1:2" ht="11.25" customHeight="1">
      <c r="A10" s="4" t="s">
        <v>3941</v>
      </c>
      <c r="B10" s="4" t="s">
        <v>3942</v>
      </c>
    </row>
    <row r="11" spans="1:2" ht="11.25" customHeight="1">
      <c r="A11" s="4" t="s">
        <v>3943</v>
      </c>
      <c r="B11" s="4" t="s">
        <v>3944</v>
      </c>
    </row>
    <row r="12" spans="1:2" ht="11.25" customHeight="1">
      <c r="A12" s="4" t="s">
        <v>3945</v>
      </c>
      <c r="B12" s="4" t="s">
        <v>3946</v>
      </c>
    </row>
    <row r="13" spans="1:2" ht="11.25" customHeight="1">
      <c r="A13" s="4" t="s">
        <v>3947</v>
      </c>
      <c r="B13" s="4" t="s">
        <v>3948</v>
      </c>
    </row>
    <row r="14" spans="1:2" ht="11.25" customHeight="1">
      <c r="A14" s="4" t="s">
        <v>3949</v>
      </c>
      <c r="B14" s="4" t="s">
        <v>3950</v>
      </c>
    </row>
    <row r="15" spans="1:2" ht="11.25" customHeight="1">
      <c r="A15" s="4" t="s">
        <v>3951</v>
      </c>
      <c r="B15" s="4" t="s">
        <v>3952</v>
      </c>
    </row>
    <row r="16" spans="1:2" ht="11.25" customHeight="1">
      <c r="A16" s="4" t="s">
        <v>3953</v>
      </c>
      <c r="B16" s="4" t="s">
        <v>3954</v>
      </c>
    </row>
    <row r="17" spans="1:2" ht="11.25" customHeight="1">
      <c r="A17" s="4" t="s">
        <v>3955</v>
      </c>
      <c r="B17" s="4" t="s">
        <v>3956</v>
      </c>
    </row>
    <row r="18" spans="1:2" ht="11.25" customHeight="1">
      <c r="A18" s="4" t="s">
        <v>3957</v>
      </c>
      <c r="B18" s="4" t="s">
        <v>3958</v>
      </c>
    </row>
    <row r="19" spans="1:2" ht="11.25" customHeight="1">
      <c r="A19" s="4" t="s">
        <v>3959</v>
      </c>
      <c r="B19" s="4" t="s">
        <v>3960</v>
      </c>
    </row>
    <row r="20" spans="1:2" ht="11.25" customHeight="1">
      <c r="A20" s="4" t="s">
        <v>3961</v>
      </c>
      <c r="B20" s="4" t="s">
        <v>3962</v>
      </c>
    </row>
    <row r="21" spans="1:2" ht="11.25" customHeight="1">
      <c r="A21" s="4" t="s">
        <v>3963</v>
      </c>
      <c r="B21" s="4" t="s">
        <v>3964</v>
      </c>
    </row>
    <row r="22" spans="1:2" ht="11.25" customHeight="1">
      <c r="A22" s="4" t="s">
        <v>3965</v>
      </c>
      <c r="B22" s="4" t="s">
        <v>3966</v>
      </c>
    </row>
    <row r="23" spans="1:2" ht="11.25" customHeight="1">
      <c r="A23" s="4" t="s">
        <v>3967</v>
      </c>
      <c r="B23" s="4" t="s">
        <v>3968</v>
      </c>
    </row>
    <row r="24" spans="1:2" ht="11.25" customHeight="1">
      <c r="A24" s="4" t="s">
        <v>3969</v>
      </c>
      <c r="B24" s="4" t="s">
        <v>3970</v>
      </c>
    </row>
    <row r="25" spans="1:2" ht="11.25" customHeight="1">
      <c r="A25" s="4" t="s">
        <v>3971</v>
      </c>
      <c r="B25" s="4" t="s">
        <v>3972</v>
      </c>
    </row>
    <row r="26" spans="1:2" ht="11.25" customHeight="1">
      <c r="A26" s="4" t="s">
        <v>3973</v>
      </c>
      <c r="B26" s="4" t="s">
        <v>3974</v>
      </c>
    </row>
    <row r="27" spans="1:2" ht="11.25" customHeight="1">
      <c r="A27" s="4" t="s">
        <v>3975</v>
      </c>
      <c r="B27" s="4" t="s">
        <v>3976</v>
      </c>
    </row>
    <row r="28" spans="1:2" ht="11.25" customHeight="1">
      <c r="A28" s="4" t="s">
        <v>3977</v>
      </c>
      <c r="B28" s="4" t="s">
        <v>3978</v>
      </c>
    </row>
    <row r="29" spans="1:2" ht="11.25" customHeight="1">
      <c r="A29" s="4" t="s">
        <v>3979</v>
      </c>
      <c r="B29" s="4" t="s">
        <v>3980</v>
      </c>
    </row>
    <row r="30" spans="1:2" ht="11.25" customHeight="1">
      <c r="A30" s="4" t="s">
        <v>3981</v>
      </c>
      <c r="B30" s="4" t="s">
        <v>3982</v>
      </c>
    </row>
    <row r="31" spans="1:2" ht="11.25" customHeight="1">
      <c r="A31" s="4" t="s">
        <v>3983</v>
      </c>
      <c r="B31" s="4" t="s">
        <v>3984</v>
      </c>
    </row>
    <row r="32" spans="1:2" ht="11.25" customHeight="1">
      <c r="A32" s="4" t="s">
        <v>3985</v>
      </c>
      <c r="B32" s="4" t="s">
        <v>3986</v>
      </c>
    </row>
    <row r="33" spans="1:2" ht="11.25" customHeight="1">
      <c r="A33" s="4" t="s">
        <v>3987</v>
      </c>
      <c r="B33" s="4" t="s">
        <v>3988</v>
      </c>
    </row>
    <row r="34" spans="1:2" ht="11.25" customHeight="1">
      <c r="A34" s="4" t="s">
        <v>3989</v>
      </c>
      <c r="B34" s="4" t="s">
        <v>3990</v>
      </c>
    </row>
    <row r="35" spans="1:2" ht="11.25" customHeight="1">
      <c r="A35" s="4" t="s">
        <v>3991</v>
      </c>
      <c r="B35" s="4" t="s">
        <v>3992</v>
      </c>
    </row>
    <row r="36" spans="1:2" ht="11.25" customHeight="1">
      <c r="A36" s="4" t="s">
        <v>3993</v>
      </c>
      <c r="B36" s="4" t="s">
        <v>3994</v>
      </c>
    </row>
    <row r="37" spans="1:2" ht="11.25" customHeight="1">
      <c r="A37" s="4" t="s">
        <v>3995</v>
      </c>
      <c r="B37" s="4" t="s">
        <v>3996</v>
      </c>
    </row>
    <row r="38" spans="1:2" ht="11.25" customHeight="1">
      <c r="A38" s="4" t="s">
        <v>3997</v>
      </c>
      <c r="B38" s="4" t="s">
        <v>3998</v>
      </c>
    </row>
    <row r="39" spans="1:2" ht="11.25" customHeight="1">
      <c r="A39" s="4" t="s">
        <v>3999</v>
      </c>
      <c r="B39" s="4" t="s">
        <v>4000</v>
      </c>
    </row>
    <row r="40" spans="1:2" ht="11.25" customHeight="1">
      <c r="A40" s="4" t="s">
        <v>4001</v>
      </c>
      <c r="B40" s="4" t="s">
        <v>4002</v>
      </c>
    </row>
    <row r="41" spans="1:2" ht="11.25" customHeight="1">
      <c r="A41" s="4" t="s">
        <v>4003</v>
      </c>
      <c r="B41" s="4" t="s">
        <v>4004</v>
      </c>
    </row>
    <row r="42" spans="1:2" ht="11.25" customHeight="1">
      <c r="A42" s="4" t="s">
        <v>4005</v>
      </c>
      <c r="B42" s="4" t="s">
        <v>4006</v>
      </c>
    </row>
    <row r="43" spans="1:2" ht="11.25" customHeight="1">
      <c r="A43" s="4" t="s">
        <v>4007</v>
      </c>
      <c r="B43" s="4" t="s">
        <v>4008</v>
      </c>
    </row>
    <row r="44" spans="1:2" ht="11.25" customHeight="1">
      <c r="A44" s="4" t="s">
        <v>4009</v>
      </c>
      <c r="B44" s="4" t="s">
        <v>4010</v>
      </c>
    </row>
    <row r="45" spans="1:2" ht="11.25" customHeight="1">
      <c r="A45" s="4" t="s">
        <v>4011</v>
      </c>
      <c r="B45" s="4" t="s">
        <v>4012</v>
      </c>
    </row>
    <row r="46" spans="1:2" ht="11.25" customHeight="1">
      <c r="A46" s="4" t="s">
        <v>4013</v>
      </c>
      <c r="B46" s="4" t="s">
        <v>4014</v>
      </c>
    </row>
    <row r="47" spans="1:2" ht="11.25" customHeight="1">
      <c r="A47" s="4" t="s">
        <v>4015</v>
      </c>
      <c r="B47" s="4" t="s">
        <v>4016</v>
      </c>
    </row>
    <row r="48" spans="1:2" ht="11.25" customHeight="1">
      <c r="A48" s="4" t="s">
        <v>4017</v>
      </c>
      <c r="B48" s="4" t="s">
        <v>4018</v>
      </c>
    </row>
    <row r="49" spans="1:2" ht="11.25" customHeight="1">
      <c r="A49" s="4" t="s">
        <v>4019</v>
      </c>
      <c r="B49" s="4" t="s">
        <v>4020</v>
      </c>
    </row>
    <row r="50" spans="1:2" ht="11.25" customHeight="1">
      <c r="A50" s="4" t="s">
        <v>4021</v>
      </c>
      <c r="B50" s="4" t="s">
        <v>4022</v>
      </c>
    </row>
    <row r="51" spans="1:2" ht="11.25" customHeight="1">
      <c r="A51" s="4" t="s">
        <v>4023</v>
      </c>
      <c r="B51" s="4" t="s">
        <v>4024</v>
      </c>
    </row>
    <row r="52" spans="1:2" ht="11.25" customHeight="1">
      <c r="A52" s="4" t="s">
        <v>4025</v>
      </c>
      <c r="B52" s="4" t="s">
        <v>4026</v>
      </c>
    </row>
    <row r="53" spans="1:2" ht="11.25" customHeight="1">
      <c r="A53" s="4" t="s">
        <v>4027</v>
      </c>
      <c r="B53" s="4" t="s">
        <v>4028</v>
      </c>
    </row>
    <row r="54" spans="1:2" ht="11.25" customHeight="1">
      <c r="A54" s="4" t="s">
        <v>4029</v>
      </c>
      <c r="B54" s="4" t="s">
        <v>4030</v>
      </c>
    </row>
    <row r="55" spans="1:2" ht="11.25" customHeight="1">
      <c r="A55" s="4" t="s">
        <v>4031</v>
      </c>
      <c r="B55" s="4" t="s">
        <v>4032</v>
      </c>
    </row>
    <row r="56" spans="1:2" ht="11.25" customHeight="1">
      <c r="A56" s="4" t="s">
        <v>4033</v>
      </c>
      <c r="B56" s="4" t="s">
        <v>4034</v>
      </c>
    </row>
    <row r="57" spans="1:2" ht="11.25" customHeight="1">
      <c r="A57" s="4" t="s">
        <v>4035</v>
      </c>
      <c r="B57" s="4" t="s">
        <v>4036</v>
      </c>
    </row>
    <row r="58" spans="1:2" ht="11.25" customHeight="1">
      <c r="A58" s="4" t="s">
        <v>4037</v>
      </c>
      <c r="B58" s="4" t="s">
        <v>4038</v>
      </c>
    </row>
    <row r="59" spans="1:2" ht="11.25" customHeight="1">
      <c r="A59" s="4" t="s">
        <v>4039</v>
      </c>
      <c r="B59" s="4" t="s">
        <v>4040</v>
      </c>
    </row>
    <row r="60" spans="1:2" ht="11.25" customHeight="1">
      <c r="A60" s="4" t="s">
        <v>4041</v>
      </c>
      <c r="B60" s="4" t="s">
        <v>4042</v>
      </c>
    </row>
    <row r="61" spans="1:2" ht="11.25" customHeight="1">
      <c r="A61" s="4"/>
      <c r="B61" s="4" t="s">
        <v>4043</v>
      </c>
    </row>
    <row r="62" spans="1:2" ht="11.25" customHeight="1">
      <c r="A62" s="4"/>
      <c r="B62" s="4" t="s">
        <v>4044</v>
      </c>
    </row>
    <row r="63" spans="1:2" ht="11.25" customHeight="1">
      <c r="A63" s="4"/>
      <c r="B63" s="4" t="s">
        <v>4045</v>
      </c>
    </row>
    <row r="64" spans="1:2" ht="11.25" customHeight="1">
      <c r="A64" s="4"/>
      <c r="B64" s="4" t="s">
        <v>4046</v>
      </c>
    </row>
    <row r="65" spans="1:2" ht="11.25" customHeight="1">
      <c r="A65" s="4"/>
      <c r="B65" s="4" t="s">
        <v>4047</v>
      </c>
    </row>
    <row r="66" spans="1:2" ht="11.25" customHeight="1">
      <c r="A66" s="4"/>
      <c r="B66" s="4" t="s">
        <v>4048</v>
      </c>
    </row>
    <row r="67" spans="1:2" ht="11.25" customHeight="1">
      <c r="A67" s="4"/>
      <c r="B67" s="4" t="s">
        <v>4049</v>
      </c>
    </row>
    <row r="68" spans="1:2" ht="11.25" customHeight="1">
      <c r="A68" s="4"/>
      <c r="B68" s="4" t="s">
        <v>4050</v>
      </c>
    </row>
    <row r="69" spans="1:2" ht="11.25" customHeight="1">
      <c r="A69" s="4"/>
      <c r="B69" s="4" t="s">
        <v>4051</v>
      </c>
    </row>
    <row r="70" spans="1:2" ht="11.25" customHeight="1">
      <c r="A70" s="4"/>
      <c r="B70" s="4" t="s">
        <v>4052</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7761F-20F5-30CE-7AAB-E6EC8D18E39D}">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4053</v>
      </c>
    </row>
    <row r="2" spans="2:4" ht="90" customHeight="1">
      <c r="B2" s="34" t="s">
        <v>4054</v>
      </c>
    </row>
    <row r="3" spans="2:4" ht="67.5" customHeight="1">
      <c r="B3" s="34" t="s">
        <v>4055</v>
      </c>
    </row>
    <row r="4" spans="2:4" ht="33.75" customHeight="1">
      <c r="B4" s="34" t="s">
        <v>4056</v>
      </c>
    </row>
    <row r="5" spans="2:4" ht="11.25" customHeight="1">
      <c r="B5" s="34" t="s">
        <v>4057</v>
      </c>
    </row>
    <row r="6" spans="2:4" ht="22.5" customHeight="1">
      <c r="B6" s="34" t="s">
        <v>4058</v>
      </c>
    </row>
    <row r="7" spans="2:4" ht="22.5" customHeight="1">
      <c r="B7" s="34" t="s">
        <v>4059</v>
      </c>
    </row>
    <row r="8" spans="2:4" ht="22.5" customHeight="1">
      <c r="B8" s="34" t="s">
        <v>4060</v>
      </c>
    </row>
    <row r="9" spans="2:4" ht="22.5" customHeight="1">
      <c r="B9" s="34" t="s">
        <v>4061</v>
      </c>
    </row>
    <row r="10" spans="2:4" ht="56.25" customHeight="1">
      <c r="B10" s="34" t="s">
        <v>4062</v>
      </c>
    </row>
    <row r="11" spans="2:4" ht="12.75" customHeight="1">
      <c r="B11" s="97" t="s">
        <v>4063</v>
      </c>
    </row>
    <row r="12" spans="2:4" ht="11.25" customHeight="1">
      <c r="B12" s="33" t="s">
        <v>4064</v>
      </c>
    </row>
    <row r="13" spans="2:4" ht="22.5" customHeight="1">
      <c r="B13" s="34" t="s">
        <v>4065</v>
      </c>
    </row>
    <row r="14" spans="2:4" ht="67.5" customHeight="1">
      <c r="B14" s="34" t="s">
        <v>4066</v>
      </c>
    </row>
    <row r="15" spans="2:4" ht="22.5" customHeight="1">
      <c r="B15" s="34" t="s">
        <v>4067</v>
      </c>
    </row>
    <row r="16" spans="2:4" ht="11.25" customHeight="1">
      <c r="B16" s="33" t="s">
        <v>4068</v>
      </c>
      <c r="D16" s="40"/>
    </row>
    <row r="17" spans="1:2" ht="33.75" customHeight="1">
      <c r="B17" s="34" t="s">
        <v>4069</v>
      </c>
    </row>
    <row r="18" spans="1:2" ht="33.75" customHeight="1">
      <c r="B18" s="34" t="s">
        <v>4070</v>
      </c>
    </row>
    <row r="19" spans="1:2" ht="11.25" customHeight="1">
      <c r="B19" s="34" t="s">
        <v>4071</v>
      </c>
    </row>
    <row r="20" spans="1:2" ht="33.75" customHeight="1">
      <c r="B20" s="34" t="s">
        <v>4072</v>
      </c>
    </row>
    <row r="21" spans="1:2" ht="11.25" customHeight="1">
      <c r="B21" s="33" t="s">
        <v>4073</v>
      </c>
    </row>
    <row r="22" spans="1:2" ht="11.25" customHeight="1">
      <c r="B22" s="34" t="s">
        <v>4074</v>
      </c>
    </row>
    <row r="24" spans="1:2" ht="22.5" customHeight="1">
      <c r="B24" s="99" t="s">
        <v>4075</v>
      </c>
    </row>
    <row r="26" spans="1:2" ht="11.25" customHeight="1">
      <c r="B26" s="33" t="s">
        <v>4076</v>
      </c>
    </row>
    <row r="27" spans="1:2" ht="22.5" customHeight="1">
      <c r="B27" s="98" t="s">
        <v>403</v>
      </c>
    </row>
    <row r="28" spans="1:2" ht="56.25" customHeight="1">
      <c r="B28" s="98" t="s">
        <v>4077</v>
      </c>
    </row>
    <row r="29" spans="1:2" ht="11.25" customHeight="1">
      <c r="B29" s="148" t="s">
        <v>4078</v>
      </c>
    </row>
    <row r="30" spans="1:2" ht="22.5" customHeight="1">
      <c r="B30" s="98" t="s">
        <v>4079</v>
      </c>
    </row>
    <row r="32" spans="1:2" ht="11.25" customHeight="1">
      <c r="A32" s="126"/>
      <c r="B32" s="127" t="s">
        <v>4080</v>
      </c>
    </row>
    <row r="33" spans="1:2" ht="14.25" customHeight="1">
      <c r="A33" s="128">
        <v>1</v>
      </c>
      <c r="B33" s="129" t="s">
        <v>4081</v>
      </c>
    </row>
    <row r="34" spans="1:2" ht="14.25" customHeight="1">
      <c r="A34" s="128">
        <v>2</v>
      </c>
      <c r="B34" s="129" t="s">
        <v>4082</v>
      </c>
    </row>
    <row r="35" spans="1:2" ht="11.25" customHeight="1">
      <c r="B35" s="127" t="s">
        <v>4083</v>
      </c>
    </row>
    <row r="36" spans="1:2" ht="11.25" customHeight="1">
      <c r="B36" s="129" t="s">
        <v>4084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baranchikova.l</cp:lastModifiedBy>
  <cp:lastPrinted>2025-05-06T08:34:54Z</cp:lastPrinted>
  <dcterms:created xsi:type="dcterms:W3CDTF">2004-05-21T07:18:45Z</dcterms:created>
  <dcterms:modified xsi:type="dcterms:W3CDTF">2025-05-06T08:35:24Z</dcterms:modified>
</cp:coreProperties>
</file>